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бюджета'!$A$1:$L$218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бюджета'!$A$1:$L$218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бюджета'!$A$1:$K$217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бюджета'!$A$1:$K$218</definedName>
    <definedName name="Z_4F278C51_CC0C_4908_B19B_FD853FE30C23_.wvu.PrintArea" localSheetId="0" hidden="1">'Анализ бюджета'!$A$1:$K$217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бюджета'!$A$1:$L$218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бюджета'!$38:$39,'Анализ бюджета'!$46:$47,'Анализ бюджета'!$164:$164</definedName>
    <definedName name="Z_735893B7_5E6F_4E87_8F79_7422E435EC59_.wvu.PrintArea" localSheetId="0" hidden="1">'Анализ бюджета'!$A$1:$K$220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бюджета'!$30:$35</definedName>
    <definedName name="Z_8F58F720_5478_11D7_8E43_00002120D636_.wvu.PrintArea" localSheetId="0" hidden="1">'Анализ бюджета'!$A$2:$K$49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бюджета'!$A$1:$L$218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бюджета'!$38:$39,'Анализ бюджета'!$46:$47,'Анализ бюджета'!#REF!,'Анализ бюджета'!$164:$164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бюджета'!$A$1:$K$220</definedName>
    <definedName name="Z_97B5DCE1_CCA4_11D7_B6CC_0007E980B7D4_.wvu.Rows" localSheetId="0" hidden="1">'Анализ бюджета'!#REF!,'Анализ бюджета'!$30:$35</definedName>
    <definedName name="Z_A91D99C2_8122_48C0_91AB_172E51C62B1D_.wvu.PrintArea" localSheetId="0" hidden="1">'Анализ бюджета'!$A$1:$K$217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бюджета'!$A$1:$L$218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бюджета'!$164:$164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бюджета'!$A$1:$K$217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бюджета'!$A$1:$L$218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бюджета'!$38:$39,'Анализ бюджета'!$46:$47,'Анализ бюджета'!$164:$164</definedName>
    <definedName name="Z_E64E5F61_FD5E_11DA_AA5B_0004761D6C8E_.wvu.PrintArea" localSheetId="0" hidden="1">'Анализ бюджета'!$A$1:$K$217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бюджета'!$G$48</definedName>
    <definedName name="Всего_расходов_2002">'Анализ бюджета'!#REF!</definedName>
    <definedName name="Всего_расходов_2003">'Анализ бюджета'!$G$149</definedName>
    <definedName name="_xlnm.Print_Titles" localSheetId="0">'Анализ бюджета'!$4:$5</definedName>
    <definedName name="_xlnm.Print_Area" localSheetId="0">'Анализ бюджета'!$A$1:$L$206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L198" i="1" l="1"/>
  <c r="L90" i="1" l="1"/>
  <c r="K90" i="1"/>
  <c r="K91" i="1"/>
  <c r="J90" i="1"/>
  <c r="I90" i="1"/>
  <c r="H90" i="1"/>
  <c r="D90" i="1"/>
  <c r="E90" i="1"/>
  <c r="F90" i="1"/>
  <c r="G90" i="1"/>
  <c r="C90" i="1"/>
  <c r="L115" i="1"/>
  <c r="K115" i="1"/>
  <c r="J115" i="1"/>
  <c r="I115" i="1"/>
  <c r="H115" i="1"/>
  <c r="D115" i="1"/>
  <c r="E115" i="1"/>
  <c r="F115" i="1"/>
  <c r="G115" i="1"/>
  <c r="C115" i="1"/>
  <c r="F125" i="1"/>
  <c r="G125" i="1"/>
  <c r="E125" i="1"/>
  <c r="D125" i="1"/>
  <c r="L132" i="1"/>
  <c r="K132" i="1"/>
  <c r="J132" i="1"/>
  <c r="I132" i="1"/>
  <c r="D132" i="1"/>
  <c r="E132" i="1"/>
  <c r="F132" i="1"/>
  <c r="G132" i="1"/>
  <c r="C132" i="1"/>
  <c r="K34" i="1" l="1"/>
  <c r="K32" i="1"/>
  <c r="K33" i="1"/>
  <c r="K31" i="1"/>
  <c r="K68" i="1"/>
  <c r="K114" i="1"/>
  <c r="K119" i="1"/>
  <c r="K127" i="1"/>
  <c r="K128" i="1"/>
  <c r="K130" i="1"/>
  <c r="K129" i="1"/>
  <c r="L114" i="1"/>
  <c r="L116" i="1"/>
  <c r="L118" i="1"/>
  <c r="K116" i="1"/>
  <c r="K118" i="1"/>
  <c r="J114" i="1"/>
  <c r="J116" i="1"/>
  <c r="J118" i="1"/>
  <c r="I114" i="1"/>
  <c r="I116" i="1"/>
  <c r="I118" i="1"/>
  <c r="F171" i="1" l="1"/>
  <c r="F162" i="1" s="1"/>
  <c r="C112" i="1"/>
  <c r="D112" i="1"/>
  <c r="E112" i="1"/>
  <c r="F112" i="1"/>
  <c r="G112" i="1"/>
  <c r="C150" i="1" l="1"/>
  <c r="C84" i="1"/>
  <c r="D188" i="1"/>
  <c r="E188" i="1"/>
  <c r="F188" i="1"/>
  <c r="G188" i="1"/>
  <c r="C188" i="1"/>
  <c r="C181" i="1"/>
  <c r="E181" i="1"/>
  <c r="F181" i="1"/>
  <c r="G181" i="1"/>
  <c r="D181" i="1"/>
  <c r="E171" i="1"/>
  <c r="G171" i="1"/>
  <c r="C171" i="1"/>
  <c r="D171" i="1"/>
  <c r="C163" i="1"/>
  <c r="E163" i="1"/>
  <c r="F163" i="1"/>
  <c r="G163" i="1"/>
  <c r="D163" i="1"/>
  <c r="E157" i="1"/>
  <c r="F157" i="1"/>
  <c r="G157" i="1"/>
  <c r="C157" i="1"/>
  <c r="D157" i="1"/>
  <c r="E150" i="1"/>
  <c r="F150" i="1"/>
  <c r="G150" i="1"/>
  <c r="D150" i="1"/>
  <c r="E118" i="1"/>
  <c r="C145" i="1"/>
  <c r="E145" i="1"/>
  <c r="F145" i="1"/>
  <c r="G145" i="1"/>
  <c r="D145" i="1"/>
  <c r="K140" i="1"/>
  <c r="L135" i="1"/>
  <c r="L136" i="1"/>
  <c r="L137" i="1"/>
  <c r="L138" i="1"/>
  <c r="L139" i="1"/>
  <c r="L140" i="1"/>
  <c r="K135" i="1"/>
  <c r="K136" i="1"/>
  <c r="K137" i="1"/>
  <c r="K138" i="1"/>
  <c r="K139" i="1"/>
  <c r="J135" i="1"/>
  <c r="J136" i="1"/>
  <c r="J137" i="1"/>
  <c r="J138" i="1"/>
  <c r="J139" i="1"/>
  <c r="J140" i="1"/>
  <c r="I135" i="1"/>
  <c r="I136" i="1"/>
  <c r="I137" i="1"/>
  <c r="I138" i="1"/>
  <c r="I139" i="1"/>
  <c r="I140" i="1"/>
  <c r="L131" i="1"/>
  <c r="I131" i="1"/>
  <c r="J131" i="1"/>
  <c r="K131" i="1"/>
  <c r="D133" i="1" l="1"/>
  <c r="E133" i="1"/>
  <c r="F133" i="1"/>
  <c r="G133" i="1"/>
  <c r="C133" i="1"/>
  <c r="C125" i="1" s="1"/>
  <c r="D129" i="1"/>
  <c r="G116" i="1"/>
  <c r="F116" i="1"/>
  <c r="E116" i="1"/>
  <c r="D116" i="1"/>
  <c r="D107" i="1" s="1"/>
  <c r="C116" i="1"/>
  <c r="F100" i="1"/>
  <c r="G100" i="1"/>
  <c r="E100" i="1"/>
  <c r="D100" i="1"/>
  <c r="C91" i="1"/>
  <c r="C82" i="1" s="1"/>
  <c r="F91" i="1"/>
  <c r="F82" i="1" s="1"/>
  <c r="G91" i="1"/>
  <c r="G84" i="1" s="1"/>
  <c r="G82" i="1" s="1"/>
  <c r="E91" i="1"/>
  <c r="I91" i="1" s="1"/>
  <c r="D91" i="1"/>
  <c r="L85" i="1"/>
  <c r="L86" i="1"/>
  <c r="L87" i="1"/>
  <c r="L88" i="1"/>
  <c r="L93" i="1"/>
  <c r="L94" i="1"/>
  <c r="L95" i="1"/>
  <c r="L96" i="1"/>
  <c r="L97" i="1"/>
  <c r="L98" i="1"/>
  <c r="K85" i="1"/>
  <c r="K86" i="1"/>
  <c r="K87" i="1"/>
  <c r="K88" i="1"/>
  <c r="K93" i="1"/>
  <c r="K94" i="1"/>
  <c r="K95" i="1"/>
  <c r="K96" i="1"/>
  <c r="K97" i="1"/>
  <c r="K98" i="1"/>
  <c r="J85" i="1"/>
  <c r="J86" i="1"/>
  <c r="J87" i="1"/>
  <c r="J88" i="1"/>
  <c r="J91" i="1"/>
  <c r="J93" i="1"/>
  <c r="J94" i="1"/>
  <c r="J95" i="1"/>
  <c r="J96" i="1"/>
  <c r="J97" i="1"/>
  <c r="J98" i="1"/>
  <c r="I85" i="1"/>
  <c r="I86" i="1"/>
  <c r="I87" i="1"/>
  <c r="I88" i="1"/>
  <c r="I93" i="1"/>
  <c r="I94" i="1"/>
  <c r="I95" i="1"/>
  <c r="I96" i="1"/>
  <c r="I97" i="1"/>
  <c r="I98" i="1"/>
  <c r="L91" i="1" l="1"/>
  <c r="L133" i="1"/>
  <c r="I133" i="1"/>
  <c r="K133" i="1"/>
  <c r="J133" i="1"/>
  <c r="D84" i="1"/>
  <c r="D82" i="1" s="1"/>
  <c r="E84" i="1"/>
  <c r="E82" i="1" s="1"/>
  <c r="G204" i="1"/>
  <c r="G201" i="1"/>
  <c r="E204" i="1"/>
  <c r="E201" i="1"/>
  <c r="L67" i="1" l="1"/>
  <c r="F213" i="1"/>
  <c r="F211" i="1"/>
  <c r="F210" i="1"/>
  <c r="F209" i="1"/>
  <c r="F208" i="1"/>
  <c r="F204" i="1"/>
  <c r="F201" i="1"/>
  <c r="F200" i="1" s="1"/>
  <c r="F194" i="1"/>
  <c r="F192" i="1"/>
  <c r="F180" i="1"/>
  <c r="F179" i="1" s="1"/>
  <c r="F176" i="1"/>
  <c r="F161" i="1"/>
  <c r="F149" i="1"/>
  <c r="F148" i="1" s="1"/>
  <c r="F141" i="1"/>
  <c r="F127" i="1"/>
  <c r="F107" i="1"/>
  <c r="F78" i="1"/>
  <c r="F70" i="1"/>
  <c r="F51" i="1"/>
  <c r="F46" i="1"/>
  <c r="F44" i="1"/>
  <c r="F41" i="1"/>
  <c r="F39" i="1"/>
  <c r="F38" i="1" s="1"/>
  <c r="F35" i="1"/>
  <c r="F32" i="1"/>
  <c r="F28" i="1"/>
  <c r="F24" i="1"/>
  <c r="F23" i="1" s="1"/>
  <c r="F19" i="1"/>
  <c r="F17" i="1"/>
  <c r="F14" i="1"/>
  <c r="F13" i="1" s="1"/>
  <c r="F11" i="1"/>
  <c r="F9" i="1"/>
  <c r="F8" i="1"/>
  <c r="L143" i="1"/>
  <c r="J143" i="1"/>
  <c r="I143" i="1"/>
  <c r="I175" i="1"/>
  <c r="J175" i="1"/>
  <c r="K175" i="1"/>
  <c r="L175" i="1"/>
  <c r="F77" i="1" l="1"/>
  <c r="F22" i="1"/>
  <c r="F16" i="1"/>
  <c r="F7" i="1" s="1"/>
  <c r="F106" i="1"/>
  <c r="G78" i="1"/>
  <c r="F196" i="1" l="1"/>
  <c r="G77" i="1"/>
  <c r="F6" i="1"/>
  <c r="F48" i="1" s="1"/>
  <c r="D162" i="1"/>
  <c r="E78" i="1"/>
  <c r="E107" i="1"/>
  <c r="L120" i="1"/>
  <c r="K120" i="1"/>
  <c r="J120" i="1"/>
  <c r="I120" i="1"/>
  <c r="D77" i="1"/>
  <c r="L119" i="1"/>
  <c r="J119" i="1"/>
  <c r="I119" i="1"/>
  <c r="G107" i="1"/>
  <c r="C107" i="1"/>
  <c r="L112" i="1"/>
  <c r="K112" i="1"/>
  <c r="J112" i="1"/>
  <c r="I112" i="1"/>
  <c r="L169" i="1"/>
  <c r="L170" i="1"/>
  <c r="L167" i="1"/>
  <c r="K169" i="1"/>
  <c r="K170" i="1"/>
  <c r="K167" i="1"/>
  <c r="J169" i="1"/>
  <c r="J170" i="1"/>
  <c r="J167" i="1"/>
  <c r="L173" i="1"/>
  <c r="K173" i="1"/>
  <c r="J173" i="1"/>
  <c r="I173" i="1"/>
  <c r="I169" i="1"/>
  <c r="I170" i="1"/>
  <c r="I167" i="1"/>
  <c r="I164" i="1"/>
  <c r="F198" i="1" l="1"/>
  <c r="E106" i="1"/>
  <c r="L190" i="1"/>
  <c r="K190" i="1"/>
  <c r="J190" i="1"/>
  <c r="I190" i="1"/>
  <c r="I186" i="1"/>
  <c r="I187" i="1"/>
  <c r="J186" i="1"/>
  <c r="J187" i="1"/>
  <c r="K186" i="1"/>
  <c r="K187" i="1"/>
  <c r="L186" i="1"/>
  <c r="L187" i="1"/>
  <c r="L184" i="1"/>
  <c r="K184" i="1"/>
  <c r="J184" i="1"/>
  <c r="I184" i="1"/>
  <c r="G180" i="1"/>
  <c r="G179" i="1" s="1"/>
  <c r="E180" i="1"/>
  <c r="D180" i="1"/>
  <c r="C180" i="1"/>
  <c r="C179" i="1" s="1"/>
  <c r="D179" i="1"/>
  <c r="E179" i="1"/>
  <c r="K156" i="1"/>
  <c r="J155" i="1"/>
  <c r="J153" i="1"/>
  <c r="J152" i="1"/>
  <c r="L159" i="1"/>
  <c r="K159" i="1"/>
  <c r="J159" i="1"/>
  <c r="I159" i="1"/>
  <c r="I155" i="1"/>
  <c r="I156" i="1"/>
  <c r="J156" i="1"/>
  <c r="K155" i="1"/>
  <c r="L155" i="1"/>
  <c r="L156" i="1"/>
  <c r="L153" i="1"/>
  <c r="K153" i="1"/>
  <c r="I153" i="1"/>
  <c r="C162" i="1"/>
  <c r="C149" i="1"/>
  <c r="L150" i="1"/>
  <c r="J150" i="1"/>
  <c r="D35" i="1"/>
  <c r="E35" i="1"/>
  <c r="G35" i="1"/>
  <c r="C35" i="1"/>
  <c r="L37" i="1"/>
  <c r="J37" i="1"/>
  <c r="I37" i="1"/>
  <c r="H37" i="1"/>
  <c r="C14" i="1"/>
  <c r="H206" i="1"/>
  <c r="G209" i="1"/>
  <c r="D209" i="1"/>
  <c r="E209" i="1"/>
  <c r="C209" i="1"/>
  <c r="D201" i="1"/>
  <c r="C201" i="1"/>
  <c r="G208" i="1"/>
  <c r="C210" i="1"/>
  <c r="E210" i="1"/>
  <c r="D210" i="1"/>
  <c r="G210" i="1"/>
  <c r="K12" i="1"/>
  <c r="J12" i="1"/>
  <c r="I12" i="1"/>
  <c r="L12" i="1"/>
  <c r="L15" i="1"/>
  <c r="L18" i="1"/>
  <c r="L20" i="1"/>
  <c r="L21" i="1"/>
  <c r="L24" i="1"/>
  <c r="L25" i="1"/>
  <c r="L26" i="1"/>
  <c r="L27" i="1"/>
  <c r="L29" i="1"/>
  <c r="L30" i="1"/>
  <c r="L31" i="1"/>
  <c r="L33" i="1"/>
  <c r="L34" i="1"/>
  <c r="L36" i="1"/>
  <c r="L40" i="1"/>
  <c r="L42" i="1"/>
  <c r="L43" i="1"/>
  <c r="L45" i="1"/>
  <c r="L47" i="1"/>
  <c r="D39" i="1"/>
  <c r="E39" i="1"/>
  <c r="G39" i="1"/>
  <c r="D32" i="1"/>
  <c r="E32" i="1"/>
  <c r="G32" i="1"/>
  <c r="D28" i="1"/>
  <c r="E28" i="1"/>
  <c r="G28" i="1"/>
  <c r="D23" i="1"/>
  <c r="E23" i="1"/>
  <c r="G23" i="1"/>
  <c r="D19" i="1"/>
  <c r="E19" i="1"/>
  <c r="G19" i="1"/>
  <c r="D17" i="1"/>
  <c r="E17" i="1"/>
  <c r="G17" i="1"/>
  <c r="D14" i="1"/>
  <c r="D13" i="1" s="1"/>
  <c r="E14" i="1"/>
  <c r="E13" i="1" s="1"/>
  <c r="G14" i="1"/>
  <c r="L14" i="1" s="1"/>
  <c r="D11" i="1"/>
  <c r="E11" i="1"/>
  <c r="G11" i="1"/>
  <c r="D9" i="1"/>
  <c r="D8" i="1" s="1"/>
  <c r="E9" i="1"/>
  <c r="E8" i="1" s="1"/>
  <c r="G9" i="1"/>
  <c r="G8" i="1" s="1"/>
  <c r="G13" i="1" l="1"/>
  <c r="I11" i="1"/>
  <c r="L11" i="1"/>
  <c r="G16" i="1"/>
  <c r="L16" i="1" s="1"/>
  <c r="L17" i="1"/>
  <c r="E22" i="1"/>
  <c r="E16" i="1"/>
  <c r="E7" i="1" s="1"/>
  <c r="L39" i="1"/>
  <c r="G22" i="1"/>
  <c r="L32" i="1"/>
  <c r="L28" i="1"/>
  <c r="L23" i="1"/>
  <c r="L19" i="1"/>
  <c r="L13" i="1"/>
  <c r="K11" i="1"/>
  <c r="G7" i="1"/>
  <c r="D22" i="1"/>
  <c r="D16" i="1"/>
  <c r="D7" i="1" s="1"/>
  <c r="J11" i="1"/>
  <c r="C9" i="1"/>
  <c r="C28" i="1"/>
  <c r="C23" i="1"/>
  <c r="C32" i="1"/>
  <c r="J34" i="1"/>
  <c r="I34" i="1"/>
  <c r="C11" i="1"/>
  <c r="D70" i="1"/>
  <c r="E70" i="1"/>
  <c r="G70" i="1"/>
  <c r="C70" i="1"/>
  <c r="L195" i="1"/>
  <c r="K195" i="1"/>
  <c r="J195" i="1"/>
  <c r="I195" i="1"/>
  <c r="G194" i="1"/>
  <c r="E194" i="1"/>
  <c r="D194" i="1"/>
  <c r="C194" i="1"/>
  <c r="C161" i="1"/>
  <c r="D161" i="1"/>
  <c r="I194" i="1" l="1"/>
  <c r="E6" i="1"/>
  <c r="G6" i="1"/>
  <c r="L7" i="1"/>
  <c r="D6" i="1"/>
  <c r="L194" i="1"/>
  <c r="K194" i="1"/>
  <c r="J194" i="1"/>
  <c r="L142" i="1"/>
  <c r="K142" i="1"/>
  <c r="J142" i="1"/>
  <c r="I142" i="1"/>
  <c r="D106" i="1"/>
  <c r="G106" i="1"/>
  <c r="C106" i="1"/>
  <c r="C196" i="1" s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11" i="1"/>
  <c r="K111" i="1"/>
  <c r="J111" i="1"/>
  <c r="I111" i="1"/>
  <c r="L110" i="1"/>
  <c r="K110" i="1"/>
  <c r="J110" i="1"/>
  <c r="I110" i="1"/>
  <c r="L103" i="1"/>
  <c r="K103" i="1"/>
  <c r="J103" i="1"/>
  <c r="I103" i="1"/>
  <c r="L10" i="1"/>
  <c r="L54" i="1"/>
  <c r="L53" i="1"/>
  <c r="L52" i="1"/>
  <c r="L9" i="1"/>
  <c r="K45" i="1"/>
  <c r="I45" i="1"/>
  <c r="G44" i="1"/>
  <c r="E44" i="1"/>
  <c r="I44" i="1" s="1"/>
  <c r="D44" i="1"/>
  <c r="C44" i="1"/>
  <c r="K25" i="1"/>
  <c r="J25" i="1"/>
  <c r="I25" i="1"/>
  <c r="K106" i="1" l="1"/>
  <c r="L44" i="1"/>
  <c r="L35" i="1"/>
  <c r="K44" i="1"/>
  <c r="C77" i="1"/>
  <c r="L22" i="1" l="1"/>
  <c r="L146" i="1"/>
  <c r="K146" i="1"/>
  <c r="J146" i="1"/>
  <c r="I146" i="1"/>
  <c r="L81" i="1"/>
  <c r="K81" i="1"/>
  <c r="J81" i="1"/>
  <c r="I81" i="1"/>
  <c r="L59" i="1"/>
  <c r="J59" i="1"/>
  <c r="I59" i="1"/>
  <c r="J31" i="1"/>
  <c r="I31" i="1"/>
  <c r="L6" i="1" l="1"/>
  <c r="I9" i="1"/>
  <c r="I10" i="1"/>
  <c r="I15" i="1"/>
  <c r="I18" i="1"/>
  <c r="I20" i="1"/>
  <c r="I21" i="1"/>
  <c r="I24" i="1"/>
  <c r="I26" i="1"/>
  <c r="I27" i="1"/>
  <c r="I29" i="1"/>
  <c r="I30" i="1"/>
  <c r="I33" i="1"/>
  <c r="I36" i="1"/>
  <c r="I40" i="1"/>
  <c r="I42" i="1"/>
  <c r="I43" i="1"/>
  <c r="I47" i="1"/>
  <c r="J33" i="1"/>
  <c r="I32" i="1"/>
  <c r="J36" i="1"/>
  <c r="E41" i="1"/>
  <c r="I41" i="1" s="1"/>
  <c r="G41" i="1"/>
  <c r="L41" i="1" s="1"/>
  <c r="D41" i="1"/>
  <c r="C41" i="1"/>
  <c r="L8" i="1"/>
  <c r="K9" i="1"/>
  <c r="K10" i="1"/>
  <c r="K15" i="1"/>
  <c r="K18" i="1"/>
  <c r="K20" i="1"/>
  <c r="K21" i="1"/>
  <c r="K24" i="1"/>
  <c r="K26" i="1"/>
  <c r="K27" i="1"/>
  <c r="K29" i="1"/>
  <c r="K30" i="1"/>
  <c r="K40" i="1"/>
  <c r="J9" i="1"/>
  <c r="J10" i="1"/>
  <c r="J15" i="1"/>
  <c r="J18" i="1"/>
  <c r="J20" i="1"/>
  <c r="J21" i="1"/>
  <c r="J24" i="1"/>
  <c r="J26" i="1"/>
  <c r="J27" i="1"/>
  <c r="J29" i="1"/>
  <c r="J30" i="1"/>
  <c r="J40" i="1"/>
  <c r="J43" i="1"/>
  <c r="J42" i="1"/>
  <c r="K47" i="1"/>
  <c r="G46" i="1"/>
  <c r="E46" i="1"/>
  <c r="E38" i="1" s="1"/>
  <c r="D46" i="1"/>
  <c r="D38" i="1" s="1"/>
  <c r="C46" i="1"/>
  <c r="C39" i="1"/>
  <c r="H36" i="1"/>
  <c r="I35" i="1"/>
  <c r="C19" i="1"/>
  <c r="C17" i="1"/>
  <c r="C13" i="1"/>
  <c r="C8" i="1"/>
  <c r="C38" i="1" l="1"/>
  <c r="G38" i="1"/>
  <c r="L38" i="1" s="1"/>
  <c r="L46" i="1"/>
  <c r="I39" i="1"/>
  <c r="I46" i="1"/>
  <c r="I28" i="1"/>
  <c r="I23" i="1"/>
  <c r="I19" i="1"/>
  <c r="I13" i="1"/>
  <c r="I8" i="1"/>
  <c r="C22" i="1"/>
  <c r="I17" i="1"/>
  <c r="I14" i="1"/>
  <c r="J32" i="1"/>
  <c r="J35" i="1"/>
  <c r="K14" i="1"/>
  <c r="K8" i="1"/>
  <c r="K13" i="1"/>
  <c r="K17" i="1"/>
  <c r="K19" i="1"/>
  <c r="K23" i="1"/>
  <c r="K28" i="1"/>
  <c r="K39" i="1"/>
  <c r="J39" i="1"/>
  <c r="J28" i="1"/>
  <c r="J13" i="1"/>
  <c r="J23" i="1"/>
  <c r="J19" i="1"/>
  <c r="J17" i="1"/>
  <c r="J14" i="1"/>
  <c r="J8" i="1"/>
  <c r="D48" i="1"/>
  <c r="C16" i="1"/>
  <c r="C7" i="1" s="1"/>
  <c r="K46" i="1"/>
  <c r="H35" i="1"/>
  <c r="K41" i="1"/>
  <c r="G48" i="1" l="1"/>
  <c r="L48" i="1" s="1"/>
  <c r="H12" i="1"/>
  <c r="H11" i="1"/>
  <c r="E48" i="1"/>
  <c r="I16" i="1"/>
  <c r="I38" i="1"/>
  <c r="I22" i="1"/>
  <c r="C6" i="1"/>
  <c r="C48" i="1" s="1"/>
  <c r="K38" i="1"/>
  <c r="J38" i="1"/>
  <c r="K22" i="1"/>
  <c r="J22" i="1"/>
  <c r="K16" i="1"/>
  <c r="J16" i="1"/>
  <c r="I6" i="1" l="1"/>
  <c r="H34" i="1"/>
  <c r="K6" i="1"/>
  <c r="I7" i="1"/>
  <c r="K7" i="1"/>
  <c r="J7" i="1"/>
  <c r="J6" i="1"/>
  <c r="E211" i="1"/>
  <c r="H31" i="1" l="1"/>
  <c r="J45" i="1"/>
  <c r="H45" i="1"/>
  <c r="H25" i="1"/>
  <c r="H44" i="1"/>
  <c r="J44" i="1"/>
  <c r="I48" i="1"/>
  <c r="C51" i="1"/>
  <c r="I212" i="1"/>
  <c r="I210" i="1"/>
  <c r="I209" i="1"/>
  <c r="I199" i="1"/>
  <c r="I193" i="1"/>
  <c r="I191" i="1"/>
  <c r="I185" i="1"/>
  <c r="I183" i="1"/>
  <c r="I188" i="1"/>
  <c r="I181" i="1"/>
  <c r="I180" i="1"/>
  <c r="I178" i="1"/>
  <c r="I177" i="1"/>
  <c r="I174" i="1"/>
  <c r="I168" i="1"/>
  <c r="I166" i="1"/>
  <c r="I171" i="1"/>
  <c r="I163" i="1"/>
  <c r="I160" i="1"/>
  <c r="I154" i="1"/>
  <c r="I152" i="1"/>
  <c r="I157" i="1"/>
  <c r="I150" i="1"/>
  <c r="I147" i="1"/>
  <c r="I145" i="1"/>
  <c r="I141" i="1"/>
  <c r="I130" i="1"/>
  <c r="I129" i="1"/>
  <c r="I128" i="1"/>
  <c r="I127" i="1"/>
  <c r="I125" i="1"/>
  <c r="I109" i="1"/>
  <c r="I107" i="1"/>
  <c r="I105" i="1"/>
  <c r="I102" i="1"/>
  <c r="I99" i="1"/>
  <c r="I84" i="1"/>
  <c r="I82" i="1"/>
  <c r="I80" i="1"/>
  <c r="I78" i="1"/>
  <c r="I76" i="1"/>
  <c r="I74" i="1"/>
  <c r="I72" i="1"/>
  <c r="I69" i="1"/>
  <c r="I68" i="1"/>
  <c r="I67" i="1"/>
  <c r="I65" i="1"/>
  <c r="I64" i="1"/>
  <c r="I62" i="1"/>
  <c r="I61" i="1"/>
  <c r="I60" i="1"/>
  <c r="I57" i="1"/>
  <c r="I56" i="1"/>
  <c r="I54" i="1"/>
  <c r="I53" i="1"/>
  <c r="I52" i="1"/>
  <c r="D51" i="1"/>
  <c r="D208" i="1"/>
  <c r="I70" i="1" l="1"/>
  <c r="E208" i="1"/>
  <c r="E77" i="1" l="1"/>
  <c r="I77" i="1" s="1"/>
  <c r="I100" i="1"/>
  <c r="K100" i="1"/>
  <c r="J100" i="1"/>
  <c r="L100" i="1"/>
  <c r="E149" i="1"/>
  <c r="E213" i="1" l="1"/>
  <c r="H33" i="1" l="1"/>
  <c r="H32" i="1"/>
  <c r="H41" i="1"/>
  <c r="H26" i="1"/>
  <c r="H43" i="1"/>
  <c r="H42" i="1"/>
  <c r="H47" i="1"/>
  <c r="H40" i="1"/>
  <c r="H29" i="1"/>
  <c r="H27" i="1"/>
  <c r="H24" i="1"/>
  <c r="H20" i="1"/>
  <c r="H18" i="1"/>
  <c r="H15" i="1"/>
  <c r="H9" i="1"/>
  <c r="H30" i="1"/>
  <c r="H21" i="1"/>
  <c r="H10" i="1"/>
  <c r="H8" i="1"/>
  <c r="H14" i="1"/>
  <c r="H16" i="1"/>
  <c r="H23" i="1"/>
  <c r="H46" i="1"/>
  <c r="H17" i="1"/>
  <c r="H13" i="1"/>
  <c r="H7" i="1"/>
  <c r="H19" i="1"/>
  <c r="H39" i="1"/>
  <c r="H28" i="1"/>
  <c r="H38" i="1"/>
  <c r="H22" i="1"/>
  <c r="H6" i="1"/>
  <c r="J47" i="1"/>
  <c r="J41" i="1"/>
  <c r="J46" i="1"/>
  <c r="H48" i="1"/>
  <c r="K48" i="1"/>
  <c r="J48" i="1"/>
  <c r="J154" i="1" l="1"/>
  <c r="K154" i="1"/>
  <c r="L154" i="1"/>
  <c r="D211" i="1" l="1"/>
  <c r="G211" i="1"/>
  <c r="D213" i="1"/>
  <c r="G213" i="1"/>
  <c r="I213" i="1" s="1"/>
  <c r="L212" i="1"/>
  <c r="K212" i="1"/>
  <c r="J212" i="1"/>
  <c r="L209" i="1"/>
  <c r="K209" i="1"/>
  <c r="J209" i="1"/>
  <c r="C208" i="1"/>
  <c r="C211" i="1"/>
  <c r="C213" i="1"/>
  <c r="E51" i="1"/>
  <c r="G51" i="1"/>
  <c r="L68" i="1"/>
  <c r="L191" i="1"/>
  <c r="K191" i="1"/>
  <c r="J191" i="1"/>
  <c r="L185" i="1"/>
  <c r="K185" i="1"/>
  <c r="J185" i="1"/>
  <c r="L183" i="1"/>
  <c r="K183" i="1"/>
  <c r="J183" i="1"/>
  <c r="L160" i="1"/>
  <c r="K160" i="1"/>
  <c r="J160" i="1"/>
  <c r="L152" i="1"/>
  <c r="K152" i="1"/>
  <c r="L69" i="1"/>
  <c r="K69" i="1"/>
  <c r="J69" i="1"/>
  <c r="K67" i="1"/>
  <c r="J67" i="1"/>
  <c r="J51" i="1" l="1"/>
  <c r="K210" i="1"/>
  <c r="I208" i="1"/>
  <c r="I51" i="1"/>
  <c r="I211" i="1"/>
  <c r="I179" i="1"/>
  <c r="L210" i="1"/>
  <c r="J210" i="1"/>
  <c r="K213" i="1"/>
  <c r="K211" i="1"/>
  <c r="L211" i="1"/>
  <c r="J211" i="1"/>
  <c r="K208" i="1"/>
  <c r="L208" i="1"/>
  <c r="J208" i="1"/>
  <c r="J68" i="1"/>
  <c r="J213" i="1"/>
  <c r="L213" i="1"/>
  <c r="J60" i="1" l="1"/>
  <c r="L60" i="1"/>
  <c r="J76" i="1" l="1"/>
  <c r="K76" i="1"/>
  <c r="L76" i="1"/>
  <c r="E162" i="1" l="1"/>
  <c r="E161" i="1" s="1"/>
  <c r="G162" i="1"/>
  <c r="G161" i="1" s="1"/>
  <c r="K161" i="1" s="1"/>
  <c r="J82" i="1"/>
  <c r="D149" i="1"/>
  <c r="D148" i="1" s="1"/>
  <c r="E148" i="1"/>
  <c r="G149" i="1"/>
  <c r="I149" i="1" s="1"/>
  <c r="C148" i="1"/>
  <c r="J52" i="1"/>
  <c r="K52" i="1"/>
  <c r="J53" i="1"/>
  <c r="K53" i="1"/>
  <c r="J54" i="1"/>
  <c r="K54" i="1"/>
  <c r="J57" i="1"/>
  <c r="K57" i="1"/>
  <c r="L57" i="1"/>
  <c r="J61" i="1"/>
  <c r="K61" i="1"/>
  <c r="L61" i="1"/>
  <c r="J62" i="1"/>
  <c r="K62" i="1"/>
  <c r="L62" i="1"/>
  <c r="J64" i="1"/>
  <c r="K64" i="1"/>
  <c r="L64" i="1"/>
  <c r="J65" i="1"/>
  <c r="K65" i="1"/>
  <c r="L65" i="1"/>
  <c r="J72" i="1"/>
  <c r="K72" i="1"/>
  <c r="L72" i="1"/>
  <c r="J78" i="1"/>
  <c r="K78" i="1"/>
  <c r="L78" i="1"/>
  <c r="J80" i="1"/>
  <c r="K80" i="1"/>
  <c r="L80" i="1"/>
  <c r="K82" i="1"/>
  <c r="L82" i="1"/>
  <c r="J84" i="1"/>
  <c r="K84" i="1"/>
  <c r="L84" i="1"/>
  <c r="J99" i="1"/>
  <c r="K99" i="1"/>
  <c r="L99" i="1"/>
  <c r="J105" i="1"/>
  <c r="K105" i="1"/>
  <c r="L105" i="1"/>
  <c r="J145" i="1"/>
  <c r="L145" i="1"/>
  <c r="J147" i="1"/>
  <c r="K147" i="1"/>
  <c r="L147" i="1"/>
  <c r="J107" i="1"/>
  <c r="K107" i="1"/>
  <c r="L107" i="1"/>
  <c r="J109" i="1"/>
  <c r="K109" i="1"/>
  <c r="L109" i="1"/>
  <c r="J125" i="1"/>
  <c r="K125" i="1"/>
  <c r="L125" i="1"/>
  <c r="J127" i="1"/>
  <c r="L127" i="1"/>
  <c r="J128" i="1"/>
  <c r="L128" i="1"/>
  <c r="J129" i="1"/>
  <c r="L129" i="1"/>
  <c r="J130" i="1"/>
  <c r="L130" i="1"/>
  <c r="J141" i="1"/>
  <c r="K141" i="1"/>
  <c r="L141" i="1"/>
  <c r="K150" i="1"/>
  <c r="J157" i="1"/>
  <c r="K157" i="1"/>
  <c r="L157" i="1"/>
  <c r="J166" i="1"/>
  <c r="K166" i="1"/>
  <c r="L166" i="1"/>
  <c r="J168" i="1"/>
  <c r="K168" i="1"/>
  <c r="L168" i="1"/>
  <c r="J174" i="1"/>
  <c r="K174" i="1"/>
  <c r="L174" i="1"/>
  <c r="J163" i="1"/>
  <c r="K163" i="1"/>
  <c r="L163" i="1"/>
  <c r="J171" i="1"/>
  <c r="K171" i="1"/>
  <c r="L171" i="1"/>
  <c r="J177" i="1"/>
  <c r="K177" i="1"/>
  <c r="L177" i="1"/>
  <c r="J178" i="1"/>
  <c r="L178" i="1"/>
  <c r="J180" i="1"/>
  <c r="K180" i="1"/>
  <c r="L180" i="1"/>
  <c r="J181" i="1"/>
  <c r="K181" i="1"/>
  <c r="L181" i="1"/>
  <c r="J188" i="1"/>
  <c r="K188" i="1"/>
  <c r="L188" i="1"/>
  <c r="J193" i="1"/>
  <c r="K193" i="1"/>
  <c r="L193" i="1"/>
  <c r="J74" i="1"/>
  <c r="K74" i="1"/>
  <c r="L74" i="1"/>
  <c r="J102" i="1"/>
  <c r="K102" i="1"/>
  <c r="L102" i="1"/>
  <c r="J56" i="1"/>
  <c r="K56" i="1"/>
  <c r="L56" i="1"/>
  <c r="E176" i="1"/>
  <c r="G176" i="1"/>
  <c r="C176" i="1"/>
  <c r="D192" i="1"/>
  <c r="E192" i="1"/>
  <c r="G192" i="1"/>
  <c r="C192" i="1"/>
  <c r="D196" i="1" l="1"/>
  <c r="J162" i="1"/>
  <c r="E196" i="1"/>
  <c r="I162" i="1"/>
  <c r="I192" i="1"/>
  <c r="I176" i="1"/>
  <c r="I106" i="1"/>
  <c r="K149" i="1"/>
  <c r="L162" i="1"/>
  <c r="J149" i="1"/>
  <c r="G148" i="1"/>
  <c r="K162" i="1"/>
  <c r="L149" i="1"/>
  <c r="L192" i="1"/>
  <c r="J192" i="1"/>
  <c r="L179" i="1"/>
  <c r="J179" i="1"/>
  <c r="L176" i="1"/>
  <c r="J176" i="1"/>
  <c r="L106" i="1"/>
  <c r="J106" i="1"/>
  <c r="L77" i="1"/>
  <c r="J77" i="1"/>
  <c r="L70" i="1"/>
  <c r="J70" i="1"/>
  <c r="K192" i="1"/>
  <c r="K179" i="1"/>
  <c r="K176" i="1"/>
  <c r="K148" i="1"/>
  <c r="K77" i="1"/>
  <c r="K70" i="1"/>
  <c r="I148" i="1" l="1"/>
  <c r="G196" i="1"/>
  <c r="K196" i="1" s="1"/>
  <c r="J148" i="1"/>
  <c r="I161" i="1"/>
  <c r="J161" i="1"/>
  <c r="L161" i="1"/>
  <c r="L148" i="1"/>
  <c r="H132" i="1" l="1"/>
  <c r="H196" i="1"/>
  <c r="L196" i="1"/>
  <c r="H114" i="1"/>
  <c r="H116" i="1"/>
  <c r="H118" i="1"/>
  <c r="H133" i="1"/>
  <c r="H135" i="1"/>
  <c r="H137" i="1"/>
  <c r="H139" i="1"/>
  <c r="H136" i="1"/>
  <c r="H138" i="1"/>
  <c r="H140" i="1"/>
  <c r="H131" i="1"/>
  <c r="H85" i="1"/>
  <c r="H87" i="1"/>
  <c r="H91" i="1"/>
  <c r="H93" i="1"/>
  <c r="H95" i="1"/>
  <c r="H97" i="1"/>
  <c r="H86" i="1"/>
  <c r="H88" i="1"/>
  <c r="H94" i="1"/>
  <c r="H96" i="1"/>
  <c r="H98" i="1"/>
  <c r="H175" i="1"/>
  <c r="H143" i="1"/>
  <c r="H119" i="1"/>
  <c r="H120" i="1"/>
  <c r="H112" i="1"/>
  <c r="H169" i="1"/>
  <c r="H173" i="1"/>
  <c r="H170" i="1"/>
  <c r="H164" i="1"/>
  <c r="H167" i="1"/>
  <c r="H186" i="1"/>
  <c r="H184" i="1"/>
  <c r="H190" i="1"/>
  <c r="H187" i="1"/>
  <c r="H159" i="1"/>
  <c r="H156" i="1"/>
  <c r="H153" i="1"/>
  <c r="H155" i="1"/>
  <c r="H195" i="1"/>
  <c r="H194" i="1"/>
  <c r="H142" i="1"/>
  <c r="H124" i="1"/>
  <c r="H122" i="1"/>
  <c r="H146" i="1"/>
  <c r="H111" i="1"/>
  <c r="H103" i="1"/>
  <c r="H121" i="1"/>
  <c r="H110" i="1"/>
  <c r="H81" i="1"/>
  <c r="I196" i="1"/>
  <c r="H59" i="1"/>
  <c r="H100" i="1"/>
  <c r="H68" i="1"/>
  <c r="H69" i="1"/>
  <c r="H60" i="1"/>
  <c r="H185" i="1"/>
  <c r="H160" i="1"/>
  <c r="H211" i="1"/>
  <c r="H76" i="1"/>
  <c r="H67" i="1"/>
  <c r="H152" i="1"/>
  <c r="H183" i="1"/>
  <c r="H213" i="1"/>
  <c r="H210" i="1"/>
  <c r="H154" i="1"/>
  <c r="H191" i="1"/>
  <c r="H208" i="1"/>
  <c r="H209" i="1"/>
  <c r="H212" i="1"/>
  <c r="L203" i="1"/>
  <c r="L202" i="1"/>
  <c r="K202" i="1"/>
  <c r="K203" i="1"/>
  <c r="J202" i="1"/>
  <c r="J203" i="1"/>
  <c r="H205" i="1"/>
  <c r="K51" i="1"/>
  <c r="J196" i="1"/>
  <c r="J201" i="1" l="1"/>
  <c r="H52" i="1"/>
  <c r="H53" i="1"/>
  <c r="H54" i="1"/>
  <c r="H57" i="1"/>
  <c r="H61" i="1"/>
  <c r="H62" i="1"/>
  <c r="H64" i="1"/>
  <c r="H65" i="1"/>
  <c r="H72" i="1"/>
  <c r="H78" i="1"/>
  <c r="H80" i="1"/>
  <c r="H82" i="1"/>
  <c r="H84" i="1"/>
  <c r="H99" i="1"/>
  <c r="H105" i="1"/>
  <c r="H145" i="1"/>
  <c r="H147" i="1"/>
  <c r="H107" i="1"/>
  <c r="H109" i="1"/>
  <c r="H125" i="1"/>
  <c r="H127" i="1"/>
  <c r="H128" i="1"/>
  <c r="H129" i="1"/>
  <c r="H130" i="1"/>
  <c r="H141" i="1"/>
  <c r="H149" i="1"/>
  <c r="H150" i="1"/>
  <c r="H157" i="1"/>
  <c r="H166" i="1"/>
  <c r="H168" i="1"/>
  <c r="H174" i="1"/>
  <c r="H162" i="1"/>
  <c r="H163" i="1"/>
  <c r="H171" i="1"/>
  <c r="H177" i="1"/>
  <c r="H178" i="1"/>
  <c r="H180" i="1"/>
  <c r="H181" i="1"/>
  <c r="H188" i="1"/>
  <c r="H193" i="1"/>
  <c r="H74" i="1"/>
  <c r="H102" i="1"/>
  <c r="H56" i="1"/>
  <c r="H192" i="1"/>
  <c r="H179" i="1"/>
  <c r="H176" i="1"/>
  <c r="H161" i="1"/>
  <c r="H148" i="1"/>
  <c r="H106" i="1"/>
  <c r="H77" i="1"/>
  <c r="H70" i="1"/>
  <c r="L201" i="1"/>
  <c r="H51" i="1"/>
  <c r="L51" i="1"/>
  <c r="J206" i="1" l="1"/>
  <c r="K206" i="1"/>
  <c r="L206" i="1"/>
  <c r="C198" i="1"/>
  <c r="C204" i="1"/>
  <c r="C200" i="1" s="1"/>
  <c r="D204" i="1" l="1"/>
  <c r="D200" i="1" s="1"/>
  <c r="D198" i="1"/>
  <c r="E198" i="1"/>
  <c r="E200" i="1"/>
  <c r="L205" i="1" l="1"/>
  <c r="G198" i="1" l="1"/>
  <c r="J205" i="1" l="1"/>
  <c r="J198" i="1"/>
  <c r="H198" i="1"/>
  <c r="K198" i="1"/>
  <c r="L204" i="1" l="1"/>
  <c r="K204" i="1"/>
  <c r="J204" i="1"/>
  <c r="G200" i="1"/>
  <c r="I200" i="1" s="1"/>
  <c r="J200" i="1" l="1"/>
  <c r="H204" i="1"/>
  <c r="K200" i="1"/>
  <c r="H200" i="1"/>
  <c r="L200" i="1"/>
</calcChain>
</file>

<file path=xl/sharedStrings.xml><?xml version="1.0" encoding="utf-8"?>
<sst xmlns="http://schemas.openxmlformats.org/spreadsheetml/2006/main" count="316" uniqueCount="245">
  <si>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</si>
  <si>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</si>
  <si>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</si>
  <si>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</si>
  <si>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</si>
  <si>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</si>
  <si>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</si>
  <si>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</si>
  <si>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</si>
  <si>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</si>
  <si>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</si>
  <si>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</si>
  <si>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</si>
  <si>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</si>
  <si>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</si>
  <si>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</si>
  <si>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</si>
  <si>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</si>
  <si>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</si>
  <si>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</si>
  <si>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</si>
  <si>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</si>
  <si>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</si>
  <si>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</si>
  <si>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</si>
  <si>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</si>
  <si>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</si>
  <si>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</si>
  <si>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</si>
  <si>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</si>
  <si>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</si>
  <si>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</si>
  <si>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</si>
  <si>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</si>
  <si>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</si>
  <si>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</si>
  <si>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</si>
  <si>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</si>
  <si>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</si>
  <si>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</si>
  <si>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</si>
  <si>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</si>
  <si>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</si>
  <si>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</si>
  <si>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</si>
  <si>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</si>
  <si>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</si>
  <si>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</si>
  <si>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</si>
  <si>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</si>
  <si>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</si>
  <si>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</si>
  <si>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</si>
  <si>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</si>
  <si>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</si>
  <si>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</si>
  <si>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</si>
  <si>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</si>
  <si>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</si>
  <si>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</si>
  <si>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</si>
  <si>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</si>
  <si>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</si>
  <si>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</si>
  <si>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</si>
  <si>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</si>
  <si>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</si>
  <si>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</si>
  <si>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</si>
  <si>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</si>
  <si>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</si>
  <si>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</si>
  <si>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</si>
  <si>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</si>
  <si>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</si>
  <si>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</si>
  <si>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</si>
  <si>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</si>
  <si>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</si>
  <si>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</si>
  <si>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</si>
  <si>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</si>
  <si>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</si>
  <si>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</si>
  <si>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</si>
  <si>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</si>
  <si>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</si>
  <si>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</si>
  <si>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</si>
  <si>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</si>
  <si>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</si>
  <si>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</si>
  <si>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</si>
  <si>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</si>
  <si>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</si>
  <si>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</si>
  <si>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</si>
  <si>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</si>
  <si>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</si>
  <si>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</si>
  <si>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</si>
  <si>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</si>
  <si>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</si>
  <si>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</si>
  <si>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</si>
  <si>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</si>
  <si>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</si>
  <si>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</si>
  <si>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</si>
  <si>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</si>
  <si>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</si>
  <si>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</si>
  <si>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</si>
  <si>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</si>
  <si>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</si>
  <si>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</si>
  <si>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</si>
  <si>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</si>
  <si>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</si>
  <si>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</si>
  <si>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</si>
  <si>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</si>
  <si>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</si>
  <si>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</si>
  <si>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</si>
  <si>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</si>
  <si>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</si>
  <si>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</si>
  <si>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</si>
  <si>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</si>
  <si>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</si>
  <si>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</si>
  <si>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</si>
  <si>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</si>
  <si>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</si>
  <si>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</si>
  <si>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</si>
  <si>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</si>
  <si>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</si>
  <si>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</si>
  <si>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</si>
  <si>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</si>
  <si>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</si>
  <si>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</si>
  <si>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</si>
  <si>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</si>
  <si>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</si>
  <si>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</si>
  <si>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t>Процент 
исполнения плана 
1 квартала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</si>
  <si>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</si>
  <si>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</si>
  <si>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</si>
  <si>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</si>
  <si>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</si>
  <si>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</si>
  <si>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</si>
  <si>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</si>
  <si>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</si>
  <si>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</si>
  <si>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</si>
  <si>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</si>
  <si>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</si>
  <si>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</si>
  <si>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</si>
  <si>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</si>
  <si>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</si>
  <si>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</si>
  <si>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</si>
  <si>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</si>
  <si>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</si>
  <si>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</si>
  <si>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</si>
  <si>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Физическая культура, в т.ч.: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</si>
  <si>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</si>
  <si>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</si>
  <si>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</si>
  <si>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</si>
  <si>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</si>
  <si>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</si>
  <si>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</si>
  <si>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</si>
  <si>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</si>
  <si>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</si>
  <si>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</si>
  <si>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</si>
  <si>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</si>
  <si>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</si>
  <si>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</si>
  <si>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</si>
  <si>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</si>
  <si>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</si>
  <si>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</si>
  <si>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Фактическое
исполнение
на 01.04.2015 г.</t>
  </si>
  <si>
    <t>125 1 11 09045 13 0000 120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</si>
  <si>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</si>
  <si>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</si>
  <si>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</si>
  <si>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</si>
  <si>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</si>
  <si>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</si>
  <si>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</si>
  <si>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</si>
  <si>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</si>
  <si>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</si>
  <si>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</si>
  <si>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</si>
  <si>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612, 244
3501030</t>
  </si>
  <si>
    <t>- ежемесячные взносы на кап.ремонт жил.фонда</t>
  </si>
  <si>
    <t>- проведение аварийно-восстановительных работ по ликвидации ЧС</t>
  </si>
  <si>
    <t>в т.ч. МБТ на организацию похоронного дела</t>
  </si>
  <si>
    <t>- содержание автомобильных дорог общего пользования (в т.ч. приобр.ОС для содержания дорог)</t>
  </si>
  <si>
    <t>0804</t>
  </si>
  <si>
    <t>Другие вопросы в области культуры, кинематографии</t>
  </si>
  <si>
    <t>Содержание МБУ</t>
  </si>
  <si>
    <t>Фактическое
исполнение
на 01.04.2016 г.</t>
  </si>
  <si>
    <t>Уточненный годовой план 
на 01.04.2016 г.</t>
  </si>
  <si>
    <t>План  1 квартала
на 01.04.2016 г.</t>
  </si>
  <si>
    <t>Сравнение исполнения на 01.04.2015 и 2016 гг.      (гр.7-гр.6)</t>
  </si>
  <si>
    <t>Уд. вес
в 2016 г.</t>
  </si>
  <si>
    <t>Анализ исполнения  бюджета муниципального образования город Энгельс за 1 квартал 2016 года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</si>
  <si>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</si>
  <si>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</si>
  <si>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</si>
  <si>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</si>
  <si>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</si>
  <si>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</si>
  <si>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125 1 16 51040 02 0000 140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</si>
  <si>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</si>
  <si>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</si>
  <si>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</si>
  <si>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2610001400, 3900004300, 3900004400, 3900011700, 3900012400</t>
  </si>
  <si>
    <t>В том числе:</t>
  </si>
  <si>
    <t>4200014400</t>
  </si>
  <si>
    <t>- замена и модернизация лифтового оборудования  (в рамках МП)</t>
  </si>
  <si>
    <t>5900012000</t>
  </si>
  <si>
    <t>- предотвращения рисков возникновения ЧС  (в рамках ВЦП)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</si>
  <si>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</si>
  <si>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</si>
  <si>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</si>
  <si>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</si>
  <si>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</si>
  <si>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- ВЦП "Содержание жилых помещений… в 2014-2015 годах"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</si>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</sst>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justify" vertical="center"/>
    </xf>
    <xf numFmtId="0" fontId="3" fillId="5" borderId="1" xfId="0" applyNumberFormat="1" applyFont="1" applyFill="1" applyBorder="1" applyAlignment="1">
      <alignment horizontal="justify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justify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right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 indent="1"/>
    </xf>
    <xf numFmtId="49" fontId="8" fillId="7" borderId="1" xfId="0" applyNumberFormat="1" applyFont="1" applyFill="1" applyBorder="1" applyAlignment="1">
      <alignment horizontal="left" vertical="center" wrapText="1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8C2"/>
      <color rgb="FFB7F9C2"/>
      <color rgb="FFFDE9D9"/>
      <color rgb="FFCCFFCC"/>
      <color rgb="FFB7FFC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20"/>
  <sheetViews>
    <sheetView tabSelected="1" showRuler="0" view="pageBreakPreview" zoomScaleNormal="115" zoomScaleSheetLayoutView="100" workbookViewId="0">
      <pane ySplit="5" topLeftCell="A192" activePane="bottomLeft" state="frozenSplit"/>
      <selection pane="bottomLeft" activeCell="I204" sqref="I204"/>
    </sheetView>
  </sheetViews>
  <sheetFormatPr defaultColWidth="9.140625" defaultRowHeight="13.5" x14ac:dyDescent="0.2"/>
  <cols>
    <col min="1" max="1" width="18.7109375" style="32" customWidth="1"/>
    <col min="2" max="2" width="38" style="71" customWidth="1"/>
    <col min="3" max="3" width="10.140625" style="71" customWidth="1"/>
    <col min="4" max="4" width="10.5703125" style="72" customWidth="1"/>
    <col min="5" max="5" width="9.5703125" style="73" customWidth="1"/>
    <col min="6" max="7" width="8.85546875" style="73" customWidth="1"/>
    <col min="8" max="8" width="8.140625" style="73" customWidth="1"/>
    <col min="9" max="9" width="8.5703125" style="73" customWidth="1"/>
    <col min="10" max="10" width="9.5703125" style="73" customWidth="1"/>
    <col min="11" max="11" width="8.7109375" style="73" customWidth="1"/>
    <col min="12" max="12" width="9.28515625" style="73" customWidth="1"/>
    <col min="13" max="16384" width="9.140625" style="2"/>
  </cols>
  <sheetData>
    <row r="1" spans="1:13" x14ac:dyDescent="0.2">
      <c r="H1" s="226"/>
      <c r="I1" s="226"/>
      <c r="J1" s="226"/>
      <c r="K1" s="226"/>
      <c r="L1" s="226"/>
    </row>
    <row r="2" spans="1:13" ht="16.5" x14ac:dyDescent="0.2">
      <c r="A2" s="229" t="s">
        <v>219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74"/>
    </row>
    <row r="3" spans="1:13" x14ac:dyDescent="0.2">
      <c r="A3" s="75"/>
      <c r="B3" s="76"/>
      <c r="C3" s="76"/>
      <c r="D3" s="77"/>
      <c r="E3" s="78"/>
      <c r="F3" s="13"/>
      <c r="G3" s="13"/>
      <c r="L3" s="32" t="s">
        <v>130</v>
      </c>
    </row>
    <row r="4" spans="1:13" s="12" customFormat="1" ht="76.5" x14ac:dyDescent="0.2">
      <c r="A4" s="205" t="s">
        <v>18</v>
      </c>
      <c r="B4" s="206" t="s">
        <v>20</v>
      </c>
      <c r="C4" s="207" t="s">
        <v>71</v>
      </c>
      <c r="D4" s="207" t="s">
        <v>215</v>
      </c>
      <c r="E4" s="112" t="s">
        <v>216</v>
      </c>
      <c r="F4" s="112" t="s">
        <v>192</v>
      </c>
      <c r="G4" s="112" t="s">
        <v>214</v>
      </c>
      <c r="H4" s="112" t="s">
        <v>218</v>
      </c>
      <c r="I4" s="112" t="s">
        <v>148</v>
      </c>
      <c r="J4" s="111" t="s">
        <v>19</v>
      </c>
      <c r="K4" s="112" t="s">
        <v>11</v>
      </c>
      <c r="L4" s="113" t="s">
        <v>217</v>
      </c>
    </row>
    <row r="5" spans="1:13" s="46" customFormat="1" ht="11.25" x14ac:dyDescent="0.2">
      <c r="A5" s="45">
        <v>1</v>
      </c>
      <c r="B5" s="79" t="s">
        <v>72</v>
      </c>
      <c r="C5" s="159">
        <v>3</v>
      </c>
      <c r="D5" s="47">
        <v>4</v>
      </c>
      <c r="E5" s="45">
        <v>5</v>
      </c>
      <c r="F5" s="45">
        <v>6</v>
      </c>
      <c r="G5" s="45">
        <v>7</v>
      </c>
      <c r="H5" s="115">
        <v>8</v>
      </c>
      <c r="I5" s="115">
        <v>9</v>
      </c>
      <c r="J5" s="114">
        <v>10</v>
      </c>
      <c r="K5" s="115">
        <v>11</v>
      </c>
      <c r="L5" s="116">
        <v>12</v>
      </c>
    </row>
    <row r="6" spans="1:13" s="14" customFormat="1" ht="33" x14ac:dyDescent="0.2">
      <c r="A6" s="50" t="s">
        <v>28</v>
      </c>
      <c r="B6" s="169" t="s">
        <v>180</v>
      </c>
      <c r="C6" s="160">
        <f>C7+C22</f>
        <v>610404</v>
      </c>
      <c r="D6" s="160">
        <f t="shared" ref="D6:G6" si="0">D7+D22</f>
        <v>610404</v>
      </c>
      <c r="E6" s="160">
        <f t="shared" si="0"/>
        <v>99037.9</v>
      </c>
      <c r="F6" s="160">
        <f t="shared" ref="F6" si="1">F7+F22</f>
        <v>146153.4</v>
      </c>
      <c r="G6" s="160">
        <f t="shared" si="0"/>
        <v>97407.8</v>
      </c>
      <c r="H6" s="151">
        <f t="shared" ref="H6:H33" si="2">G6/Всего_доходов_2003</f>
        <v>0.98299999999999998</v>
      </c>
      <c r="I6" s="153">
        <f>IF(E6=0,"0,0%",G6/E6)</f>
        <v>0.98399999999999999</v>
      </c>
      <c r="J6" s="98">
        <f>G6-D6</f>
        <v>-512996.2</v>
      </c>
      <c r="K6" s="97">
        <f>G6/D6</f>
        <v>0.16</v>
      </c>
      <c r="L6" s="125">
        <f>G6-F6</f>
        <v>-48745.599999999999</v>
      </c>
      <c r="M6" s="23"/>
    </row>
    <row r="7" spans="1:13" s="14" customFormat="1" x14ac:dyDescent="0.2">
      <c r="A7" s="50"/>
      <c r="B7" s="51" t="s">
        <v>12</v>
      </c>
      <c r="C7" s="160">
        <f>C9+C11+C13+C16</f>
        <v>510227.20000000001</v>
      </c>
      <c r="D7" s="160">
        <f t="shared" ref="D7:G7" si="3">D9+D11+D13+D16</f>
        <v>510227.20000000001</v>
      </c>
      <c r="E7" s="160">
        <f t="shared" si="3"/>
        <v>82849.100000000006</v>
      </c>
      <c r="F7" s="160">
        <f t="shared" ref="F7" si="4">F9+F11+F13+F16</f>
        <v>85938.6</v>
      </c>
      <c r="G7" s="160">
        <f t="shared" si="3"/>
        <v>81126.7</v>
      </c>
      <c r="H7" s="151">
        <f t="shared" si="2"/>
        <v>0.81899999999999995</v>
      </c>
      <c r="I7" s="153">
        <f t="shared" ref="I7:I48" si="5">IF(E7=0,"0,0%",G7/E7)</f>
        <v>0.97899999999999998</v>
      </c>
      <c r="J7" s="98">
        <f t="shared" ref="J7:J40" si="6">G7-D7</f>
        <v>-429100.5</v>
      </c>
      <c r="K7" s="97">
        <f t="shared" ref="K7:K40" si="7">G7/D7</f>
        <v>0.159</v>
      </c>
      <c r="L7" s="125">
        <f>G7-F7</f>
        <v>-4811.8999999999996</v>
      </c>
      <c r="M7" s="23"/>
    </row>
    <row r="8" spans="1:13" s="14" customFormat="1" x14ac:dyDescent="0.2">
      <c r="A8" s="50" t="s">
        <v>29</v>
      </c>
      <c r="B8" s="51" t="s">
        <v>30</v>
      </c>
      <c r="C8" s="160">
        <f>SUM(C9)</f>
        <v>261382.6</v>
      </c>
      <c r="D8" s="160">
        <f t="shared" ref="D8:G8" si="8">SUM(D9)</f>
        <v>261382.6</v>
      </c>
      <c r="E8" s="160">
        <f t="shared" si="8"/>
        <v>50400</v>
      </c>
      <c r="F8" s="160">
        <f t="shared" si="8"/>
        <v>49854.2</v>
      </c>
      <c r="G8" s="160">
        <f t="shared" si="8"/>
        <v>49105.8</v>
      </c>
      <c r="H8" s="151">
        <f t="shared" si="2"/>
        <v>0.496</v>
      </c>
      <c r="I8" s="153">
        <f t="shared" si="5"/>
        <v>0.97399999999999998</v>
      </c>
      <c r="J8" s="98">
        <f t="shared" si="6"/>
        <v>-212276.8</v>
      </c>
      <c r="K8" s="97">
        <f t="shared" si="7"/>
        <v>0.188</v>
      </c>
      <c r="L8" s="125">
        <f>SUM(L9)</f>
        <v>-748.4</v>
      </c>
      <c r="M8" s="23"/>
    </row>
    <row r="9" spans="1:13" s="14" customFormat="1" x14ac:dyDescent="0.2">
      <c r="A9" s="50" t="s">
        <v>31</v>
      </c>
      <c r="B9" s="124" t="s">
        <v>13</v>
      </c>
      <c r="C9" s="160">
        <f>C10</f>
        <v>261382.6</v>
      </c>
      <c r="D9" s="160">
        <f t="shared" ref="D9:G9" si="9">D10</f>
        <v>261382.6</v>
      </c>
      <c r="E9" s="160">
        <f t="shared" si="9"/>
        <v>50400</v>
      </c>
      <c r="F9" s="160">
        <f t="shared" si="9"/>
        <v>49854.2</v>
      </c>
      <c r="G9" s="160">
        <f t="shared" si="9"/>
        <v>49105.8</v>
      </c>
      <c r="H9" s="151">
        <f t="shared" si="2"/>
        <v>0.496</v>
      </c>
      <c r="I9" s="153">
        <f t="shared" si="5"/>
        <v>0.97399999999999998</v>
      </c>
      <c r="J9" s="98">
        <f t="shared" si="6"/>
        <v>-212276.8</v>
      </c>
      <c r="K9" s="97">
        <f t="shared" si="7"/>
        <v>0.188</v>
      </c>
      <c r="L9" s="125">
        <f>G9-F9</f>
        <v>-748.4</v>
      </c>
      <c r="M9" s="23"/>
    </row>
    <row r="10" spans="1:13" s="14" customFormat="1" ht="83.25" x14ac:dyDescent="0.2">
      <c r="A10" s="52" t="s">
        <v>131</v>
      </c>
      <c r="B10" s="54" t="s">
        <v>149</v>
      </c>
      <c r="C10" s="161">
        <v>261382.6</v>
      </c>
      <c r="D10" s="137">
        <v>261382.6</v>
      </c>
      <c r="E10" s="137">
        <v>50400</v>
      </c>
      <c r="F10" s="195">
        <v>49854.2</v>
      </c>
      <c r="G10" s="195">
        <v>49105.8</v>
      </c>
      <c r="H10" s="146">
        <f t="shared" si="2"/>
        <v>0.496</v>
      </c>
      <c r="I10" s="153">
        <f t="shared" si="5"/>
        <v>0.97399999999999998</v>
      </c>
      <c r="J10" s="118">
        <f t="shared" si="6"/>
        <v>-212276.8</v>
      </c>
      <c r="K10" s="117">
        <f t="shared" si="7"/>
        <v>0.188</v>
      </c>
      <c r="L10" s="125">
        <f>G10-F10</f>
        <v>-748.4</v>
      </c>
      <c r="M10" s="23"/>
    </row>
    <row r="11" spans="1:13" s="14" customFormat="1" ht="27" x14ac:dyDescent="0.2">
      <c r="A11" s="50" t="s">
        <v>176</v>
      </c>
      <c r="B11" s="57" t="s">
        <v>182</v>
      </c>
      <c r="C11" s="160">
        <f>C12</f>
        <v>14038.2</v>
      </c>
      <c r="D11" s="160">
        <f t="shared" ref="D11:G11" si="10">D12</f>
        <v>14038.2</v>
      </c>
      <c r="E11" s="160">
        <f t="shared" si="10"/>
        <v>4026.9</v>
      </c>
      <c r="F11" s="160">
        <f t="shared" si="10"/>
        <v>3859.3</v>
      </c>
      <c r="G11" s="160">
        <f t="shared" si="10"/>
        <v>3909.5</v>
      </c>
      <c r="H11" s="146">
        <f t="shared" si="2"/>
        <v>3.9E-2</v>
      </c>
      <c r="I11" s="153">
        <f t="shared" si="5"/>
        <v>0.97099999999999997</v>
      </c>
      <c r="J11" s="118">
        <f t="shared" si="6"/>
        <v>-10128.700000000001</v>
      </c>
      <c r="K11" s="117">
        <f t="shared" si="7"/>
        <v>0.27800000000000002</v>
      </c>
      <c r="L11" s="125">
        <f>G11-F11</f>
        <v>50.2</v>
      </c>
      <c r="M11" s="23"/>
    </row>
    <row r="12" spans="1:13" s="14" customFormat="1" ht="27" x14ac:dyDescent="0.2">
      <c r="A12" s="52" t="s">
        <v>222</v>
      </c>
      <c r="B12" s="192" t="s">
        <v>183</v>
      </c>
      <c r="C12" s="161">
        <v>14038.2</v>
      </c>
      <c r="D12" s="137">
        <v>14038.2</v>
      </c>
      <c r="E12" s="195">
        <v>4026.9</v>
      </c>
      <c r="F12" s="137">
        <v>3859.3</v>
      </c>
      <c r="G12" s="137">
        <v>3909.5</v>
      </c>
      <c r="H12" s="146">
        <f t="shared" si="2"/>
        <v>3.9E-2</v>
      </c>
      <c r="I12" s="153">
        <f t="shared" si="5"/>
        <v>0.97099999999999997</v>
      </c>
      <c r="J12" s="118">
        <f t="shared" si="6"/>
        <v>-10128.700000000001</v>
      </c>
      <c r="K12" s="117">
        <f t="shared" si="7"/>
        <v>0.27800000000000002</v>
      </c>
      <c r="L12" s="125">
        <f t="shared" ref="L12:L48" si="11">G12-F12</f>
        <v>50.2</v>
      </c>
      <c r="M12" s="23"/>
    </row>
    <row r="13" spans="1:13" s="20" customFormat="1" x14ac:dyDescent="0.2">
      <c r="A13" s="50" t="s">
        <v>92</v>
      </c>
      <c r="B13" s="57" t="s">
        <v>14</v>
      </c>
      <c r="C13" s="160">
        <f>SUM(C14)</f>
        <v>722.2</v>
      </c>
      <c r="D13" s="160">
        <f t="shared" ref="D13:G13" si="12">SUM(D14)</f>
        <v>722.2</v>
      </c>
      <c r="E13" s="160">
        <f t="shared" si="12"/>
        <v>722.2</v>
      </c>
      <c r="F13" s="160">
        <f t="shared" si="12"/>
        <v>203</v>
      </c>
      <c r="G13" s="160">
        <f t="shared" si="12"/>
        <v>760</v>
      </c>
      <c r="H13" s="151">
        <f t="shared" si="2"/>
        <v>8.0000000000000002E-3</v>
      </c>
      <c r="I13" s="153">
        <f t="shared" si="5"/>
        <v>1.052</v>
      </c>
      <c r="J13" s="98">
        <f t="shared" si="6"/>
        <v>37.799999999999997</v>
      </c>
      <c r="K13" s="97">
        <f t="shared" si="7"/>
        <v>1.052</v>
      </c>
      <c r="L13" s="125">
        <f t="shared" si="11"/>
        <v>557</v>
      </c>
      <c r="M13" s="24"/>
    </row>
    <row r="14" spans="1:13" s="20" customFormat="1" x14ac:dyDescent="0.2">
      <c r="A14" s="50" t="s">
        <v>32</v>
      </c>
      <c r="B14" s="51" t="s">
        <v>0</v>
      </c>
      <c r="C14" s="160">
        <f>C15</f>
        <v>722.2</v>
      </c>
      <c r="D14" s="160">
        <f t="shared" ref="D14:G14" si="13">D15</f>
        <v>722.2</v>
      </c>
      <c r="E14" s="160">
        <f t="shared" si="13"/>
        <v>722.2</v>
      </c>
      <c r="F14" s="160">
        <f t="shared" si="13"/>
        <v>203</v>
      </c>
      <c r="G14" s="160">
        <f t="shared" si="13"/>
        <v>760</v>
      </c>
      <c r="H14" s="151">
        <f t="shared" si="2"/>
        <v>8.0000000000000002E-3</v>
      </c>
      <c r="I14" s="153">
        <f t="shared" si="5"/>
        <v>1.052</v>
      </c>
      <c r="J14" s="98">
        <f t="shared" si="6"/>
        <v>37.799999999999997</v>
      </c>
      <c r="K14" s="97">
        <f t="shared" si="7"/>
        <v>1.052</v>
      </c>
      <c r="L14" s="125">
        <f t="shared" si="11"/>
        <v>557</v>
      </c>
      <c r="M14" s="24"/>
    </row>
    <row r="15" spans="1:13" s="20" customFormat="1" x14ac:dyDescent="0.2">
      <c r="A15" s="52" t="s">
        <v>80</v>
      </c>
      <c r="B15" s="54" t="s">
        <v>0</v>
      </c>
      <c r="C15" s="162">
        <v>722.2</v>
      </c>
      <c r="D15" s="28">
        <v>722.2</v>
      </c>
      <c r="E15" s="196">
        <v>722.2</v>
      </c>
      <c r="F15" s="28">
        <v>203</v>
      </c>
      <c r="G15" s="28">
        <v>760</v>
      </c>
      <c r="H15" s="146">
        <f t="shared" si="2"/>
        <v>8.0000000000000002E-3</v>
      </c>
      <c r="I15" s="153">
        <f t="shared" si="5"/>
        <v>1.052</v>
      </c>
      <c r="J15" s="118">
        <f t="shared" si="6"/>
        <v>37.799999999999997</v>
      </c>
      <c r="K15" s="117">
        <f t="shared" si="7"/>
        <v>1.052</v>
      </c>
      <c r="L15" s="125">
        <f t="shared" si="11"/>
        <v>557</v>
      </c>
      <c r="M15" s="24"/>
    </row>
    <row r="16" spans="1:13" s="20" customFormat="1" x14ac:dyDescent="0.2">
      <c r="A16" s="50" t="s">
        <v>93</v>
      </c>
      <c r="B16" s="51" t="s">
        <v>15</v>
      </c>
      <c r="C16" s="160">
        <f>SUM(C17+C19)</f>
        <v>234084.2</v>
      </c>
      <c r="D16" s="160">
        <f t="shared" ref="D16:G16" si="14">SUM(D17+D19)</f>
        <v>234084.2</v>
      </c>
      <c r="E16" s="160">
        <f t="shared" si="14"/>
        <v>27700</v>
      </c>
      <c r="F16" s="160">
        <f t="shared" ref="F16" si="15">SUM(F17+F19)</f>
        <v>32022.1</v>
      </c>
      <c r="G16" s="160">
        <f t="shared" si="14"/>
        <v>27351.4</v>
      </c>
      <c r="H16" s="151">
        <f t="shared" si="2"/>
        <v>0.27600000000000002</v>
      </c>
      <c r="I16" s="153">
        <f t="shared" si="5"/>
        <v>0.98699999999999999</v>
      </c>
      <c r="J16" s="98">
        <f t="shared" si="6"/>
        <v>-206732.79999999999</v>
      </c>
      <c r="K16" s="97">
        <f t="shared" si="7"/>
        <v>0.11700000000000001</v>
      </c>
      <c r="L16" s="125">
        <f t="shared" si="11"/>
        <v>-4670.7</v>
      </c>
      <c r="M16" s="24"/>
    </row>
    <row r="17" spans="1:13" s="26" customFormat="1" x14ac:dyDescent="0.2">
      <c r="A17" s="50" t="s">
        <v>35</v>
      </c>
      <c r="B17" s="51" t="s">
        <v>34</v>
      </c>
      <c r="C17" s="160">
        <f>C18</f>
        <v>84084.2</v>
      </c>
      <c r="D17" s="160">
        <f t="shared" ref="D17:G17" si="16">D18</f>
        <v>84084.2</v>
      </c>
      <c r="E17" s="160">
        <f t="shared" si="16"/>
        <v>7500</v>
      </c>
      <c r="F17" s="160">
        <f t="shared" si="16"/>
        <v>5546.7</v>
      </c>
      <c r="G17" s="160">
        <f t="shared" si="16"/>
        <v>7458.3</v>
      </c>
      <c r="H17" s="151">
        <f t="shared" si="2"/>
        <v>7.4999999999999997E-2</v>
      </c>
      <c r="I17" s="153">
        <f t="shared" si="5"/>
        <v>0.99399999999999999</v>
      </c>
      <c r="J17" s="98">
        <f t="shared" si="6"/>
        <v>-76625.899999999994</v>
      </c>
      <c r="K17" s="97">
        <f t="shared" si="7"/>
        <v>8.8999999999999996E-2</v>
      </c>
      <c r="L17" s="125">
        <f t="shared" si="11"/>
        <v>1911.6</v>
      </c>
      <c r="M17" s="25"/>
    </row>
    <row r="18" spans="1:13" s="20" customFormat="1" ht="40.5" x14ac:dyDescent="0.2">
      <c r="A18" s="52" t="s">
        <v>223</v>
      </c>
      <c r="B18" s="54" t="s">
        <v>36</v>
      </c>
      <c r="C18" s="163">
        <v>84084.2</v>
      </c>
      <c r="D18" s="70">
        <v>84084.2</v>
      </c>
      <c r="E18" s="197">
        <v>7500</v>
      </c>
      <c r="F18" s="70">
        <v>5546.7</v>
      </c>
      <c r="G18" s="70">
        <v>7458.3</v>
      </c>
      <c r="H18" s="146">
        <f t="shared" si="2"/>
        <v>7.4999999999999997E-2</v>
      </c>
      <c r="I18" s="153">
        <f t="shared" si="5"/>
        <v>0.99399999999999999</v>
      </c>
      <c r="J18" s="118">
        <f t="shared" si="6"/>
        <v>-76625.899999999994</v>
      </c>
      <c r="K18" s="117">
        <f t="shared" si="7"/>
        <v>8.8999999999999996E-2</v>
      </c>
      <c r="L18" s="125">
        <f t="shared" si="11"/>
        <v>1911.6</v>
      </c>
      <c r="M18" s="24"/>
    </row>
    <row r="19" spans="1:13" s="26" customFormat="1" x14ac:dyDescent="0.2">
      <c r="A19" s="50" t="s">
        <v>33</v>
      </c>
      <c r="B19" s="51" t="s">
        <v>16</v>
      </c>
      <c r="C19" s="160">
        <f>SUM(C20:C21)</f>
        <v>150000</v>
      </c>
      <c r="D19" s="160">
        <f t="shared" ref="D19:G19" si="17">SUM(D20:D21)</f>
        <v>150000</v>
      </c>
      <c r="E19" s="160">
        <f t="shared" si="17"/>
        <v>20200</v>
      </c>
      <c r="F19" s="160">
        <f t="shared" ref="F19" si="18">SUM(F20:F21)</f>
        <v>26475.4</v>
      </c>
      <c r="G19" s="160">
        <f t="shared" si="17"/>
        <v>19893.099999999999</v>
      </c>
      <c r="H19" s="151">
        <f t="shared" si="2"/>
        <v>0.20100000000000001</v>
      </c>
      <c r="I19" s="153">
        <f t="shared" si="5"/>
        <v>0.98499999999999999</v>
      </c>
      <c r="J19" s="98">
        <f t="shared" si="6"/>
        <v>-130106.9</v>
      </c>
      <c r="K19" s="97">
        <f t="shared" si="7"/>
        <v>0.13300000000000001</v>
      </c>
      <c r="L19" s="125">
        <f t="shared" si="11"/>
        <v>-6582.3</v>
      </c>
      <c r="M19" s="25"/>
    </row>
    <row r="20" spans="1:13" s="26" customFormat="1" x14ac:dyDescent="0.2">
      <c r="A20" s="193" t="s">
        <v>224</v>
      </c>
      <c r="B20" s="54" t="s">
        <v>220</v>
      </c>
      <c r="C20" s="163">
        <v>75000</v>
      </c>
      <c r="D20" s="70">
        <v>75000</v>
      </c>
      <c r="E20" s="197">
        <v>17050</v>
      </c>
      <c r="F20" s="70">
        <v>22052.9</v>
      </c>
      <c r="G20" s="70">
        <v>16979.5</v>
      </c>
      <c r="H20" s="146">
        <f t="shared" si="2"/>
        <v>0.17100000000000001</v>
      </c>
      <c r="I20" s="153">
        <f t="shared" si="5"/>
        <v>0.996</v>
      </c>
      <c r="J20" s="118">
        <f t="shared" si="6"/>
        <v>-58020.5</v>
      </c>
      <c r="K20" s="117">
        <f t="shared" si="7"/>
        <v>0.22600000000000001</v>
      </c>
      <c r="L20" s="125">
        <f t="shared" si="11"/>
        <v>-5073.3999999999996</v>
      </c>
      <c r="M20" s="25"/>
    </row>
    <row r="21" spans="1:13" s="20" customFormat="1" x14ac:dyDescent="0.2">
      <c r="A21" s="193" t="s">
        <v>225</v>
      </c>
      <c r="B21" s="54" t="s">
        <v>221</v>
      </c>
      <c r="C21" s="163">
        <v>75000</v>
      </c>
      <c r="D21" s="70">
        <v>75000</v>
      </c>
      <c r="E21" s="197">
        <v>3150</v>
      </c>
      <c r="F21" s="70">
        <v>4422.5</v>
      </c>
      <c r="G21" s="70">
        <v>2913.6</v>
      </c>
      <c r="H21" s="146">
        <f t="shared" si="2"/>
        <v>2.9000000000000001E-2</v>
      </c>
      <c r="I21" s="153">
        <f t="shared" si="5"/>
        <v>0.92500000000000004</v>
      </c>
      <c r="J21" s="118">
        <f t="shared" si="6"/>
        <v>-72086.399999999994</v>
      </c>
      <c r="K21" s="117">
        <f t="shared" si="7"/>
        <v>3.9E-2</v>
      </c>
      <c r="L21" s="125">
        <f t="shared" si="11"/>
        <v>-1508.9</v>
      </c>
      <c r="M21" s="24"/>
    </row>
    <row r="22" spans="1:13" s="26" customFormat="1" x14ac:dyDescent="0.2">
      <c r="A22" s="50"/>
      <c r="B22" s="51" t="s">
        <v>17</v>
      </c>
      <c r="C22" s="160">
        <f>C23+C28+C35+C32</f>
        <v>100176.8</v>
      </c>
      <c r="D22" s="160">
        <f t="shared" ref="D22:G22" si="19">D23+D28+D35+D32</f>
        <v>100176.8</v>
      </c>
      <c r="E22" s="160">
        <f t="shared" si="19"/>
        <v>16188.8</v>
      </c>
      <c r="F22" s="160">
        <f t="shared" ref="F22" si="20">F23+F28+F35+F32</f>
        <v>60214.8</v>
      </c>
      <c r="G22" s="160">
        <f t="shared" si="19"/>
        <v>16281.1</v>
      </c>
      <c r="H22" s="151">
        <f t="shared" si="2"/>
        <v>0.16400000000000001</v>
      </c>
      <c r="I22" s="153">
        <f t="shared" si="5"/>
        <v>1.006</v>
      </c>
      <c r="J22" s="98">
        <f t="shared" si="6"/>
        <v>-83895.7</v>
      </c>
      <c r="K22" s="97">
        <f t="shared" si="7"/>
        <v>0.16300000000000001</v>
      </c>
      <c r="L22" s="125">
        <f t="shared" si="11"/>
        <v>-43933.7</v>
      </c>
      <c r="M22" s="25"/>
    </row>
    <row r="23" spans="1:13" s="20" customFormat="1" ht="40.5" x14ac:dyDescent="0.2">
      <c r="A23" s="50" t="s">
        <v>38</v>
      </c>
      <c r="B23" s="51" t="s">
        <v>1</v>
      </c>
      <c r="C23" s="186">
        <f>SUM(C24:C27)</f>
        <v>92016.3</v>
      </c>
      <c r="D23" s="186">
        <f t="shared" ref="D23:G23" si="21">SUM(D24:D27)</f>
        <v>92016.3</v>
      </c>
      <c r="E23" s="160">
        <f t="shared" si="21"/>
        <v>13857.6</v>
      </c>
      <c r="F23" s="186">
        <f t="shared" ref="F23" si="22">SUM(F24:F27)</f>
        <v>16299.2</v>
      </c>
      <c r="G23" s="186">
        <f t="shared" si="21"/>
        <v>13819.4</v>
      </c>
      <c r="H23" s="151">
        <f t="shared" si="2"/>
        <v>0.13900000000000001</v>
      </c>
      <c r="I23" s="153">
        <f t="shared" si="5"/>
        <v>0.997</v>
      </c>
      <c r="J23" s="98">
        <f t="shared" si="6"/>
        <v>-78196.899999999994</v>
      </c>
      <c r="K23" s="97">
        <f t="shared" si="7"/>
        <v>0.15</v>
      </c>
      <c r="L23" s="125">
        <f t="shared" si="11"/>
        <v>-2479.8000000000002</v>
      </c>
      <c r="M23" s="24"/>
    </row>
    <row r="24" spans="1:13" s="20" customFormat="1" ht="81" x14ac:dyDescent="0.2">
      <c r="A24" s="52" t="s">
        <v>187</v>
      </c>
      <c r="B24" s="54" t="s">
        <v>41</v>
      </c>
      <c r="C24" s="163">
        <v>64250</v>
      </c>
      <c r="D24" s="28">
        <v>64250</v>
      </c>
      <c r="E24" s="197">
        <v>10462.5</v>
      </c>
      <c r="F24" s="70">
        <f>10711.4+651.7</f>
        <v>11363.1</v>
      </c>
      <c r="G24" s="70">
        <v>10500.7</v>
      </c>
      <c r="H24" s="146">
        <f t="shared" si="2"/>
        <v>0.106</v>
      </c>
      <c r="I24" s="153">
        <f t="shared" si="5"/>
        <v>1.004</v>
      </c>
      <c r="J24" s="118">
        <f t="shared" si="6"/>
        <v>-53749.3</v>
      </c>
      <c r="K24" s="117">
        <f t="shared" si="7"/>
        <v>0.16300000000000001</v>
      </c>
      <c r="L24" s="125">
        <f t="shared" si="11"/>
        <v>-862.4</v>
      </c>
      <c r="M24" s="24"/>
    </row>
    <row r="25" spans="1:13" s="20" customFormat="1" ht="40.5" x14ac:dyDescent="0.2">
      <c r="A25" s="193" t="s">
        <v>185</v>
      </c>
      <c r="B25" s="54" t="s">
        <v>155</v>
      </c>
      <c r="C25" s="163">
        <v>3250</v>
      </c>
      <c r="D25" s="28">
        <v>3250</v>
      </c>
      <c r="E25" s="197">
        <v>722.5</v>
      </c>
      <c r="F25" s="70">
        <v>951.3</v>
      </c>
      <c r="G25" s="70">
        <v>718.6</v>
      </c>
      <c r="H25" s="146">
        <f t="shared" ref="H25" si="23">G25/Всего_доходов_2003</f>
        <v>7.0000000000000001E-3</v>
      </c>
      <c r="I25" s="153">
        <f t="shared" ref="I25" si="24">IF(E25=0,"0,0%",G25/E25)</f>
        <v>0.995</v>
      </c>
      <c r="J25" s="118">
        <f t="shared" ref="J25" si="25">G25-D25</f>
        <v>-2531.4</v>
      </c>
      <c r="K25" s="117">
        <f>G25/D25</f>
        <v>0.221</v>
      </c>
      <c r="L25" s="125">
        <f t="shared" si="11"/>
        <v>-232.7</v>
      </c>
      <c r="M25" s="24"/>
    </row>
    <row r="26" spans="1:13" s="20" customFormat="1" ht="54" hidden="1" customHeight="1" x14ac:dyDescent="0.2">
      <c r="A26" s="193" t="s">
        <v>186</v>
      </c>
      <c r="B26" s="54" t="s">
        <v>146</v>
      </c>
      <c r="C26" s="163">
        <v>0</v>
      </c>
      <c r="D26" s="28">
        <v>0</v>
      </c>
      <c r="E26" s="197">
        <v>0</v>
      </c>
      <c r="F26" s="70">
        <v>0</v>
      </c>
      <c r="G26" s="70">
        <v>0</v>
      </c>
      <c r="H26" s="146">
        <f t="shared" si="2"/>
        <v>0</v>
      </c>
      <c r="I26" s="153" t="str">
        <f t="shared" si="5"/>
        <v>0,0%</v>
      </c>
      <c r="J26" s="118">
        <f t="shared" si="6"/>
        <v>0</v>
      </c>
      <c r="K26" s="117" t="e">
        <f t="shared" si="7"/>
        <v>#DIV/0!</v>
      </c>
      <c r="L26" s="125">
        <f t="shared" si="11"/>
        <v>0</v>
      </c>
      <c r="M26" s="24"/>
    </row>
    <row r="27" spans="1:13" s="26" customFormat="1" ht="81" x14ac:dyDescent="0.2">
      <c r="A27" s="194" t="s">
        <v>193</v>
      </c>
      <c r="B27" s="53" t="s">
        <v>81</v>
      </c>
      <c r="C27" s="164">
        <v>24516.3</v>
      </c>
      <c r="D27" s="28">
        <v>24516.3</v>
      </c>
      <c r="E27" s="198">
        <v>2672.6</v>
      </c>
      <c r="F27" s="42">
        <v>3984.8</v>
      </c>
      <c r="G27" s="42">
        <v>2600.1</v>
      </c>
      <c r="H27" s="146">
        <f t="shared" si="2"/>
        <v>2.5999999999999999E-2</v>
      </c>
      <c r="I27" s="153">
        <f t="shared" si="5"/>
        <v>0.97299999999999998</v>
      </c>
      <c r="J27" s="118">
        <f t="shared" si="6"/>
        <v>-21916.2</v>
      </c>
      <c r="K27" s="117">
        <f t="shared" si="7"/>
        <v>0.106</v>
      </c>
      <c r="L27" s="125">
        <f t="shared" si="11"/>
        <v>-1384.7</v>
      </c>
      <c r="M27" s="25"/>
    </row>
    <row r="28" spans="1:13" s="20" customFormat="1" ht="27" x14ac:dyDescent="0.2">
      <c r="A28" s="58" t="s">
        <v>37</v>
      </c>
      <c r="B28" s="59" t="s">
        <v>2</v>
      </c>
      <c r="C28" s="165">
        <f>SUM(C29:C31)</f>
        <v>7925</v>
      </c>
      <c r="D28" s="165">
        <f t="shared" ref="D28:G28" si="26">SUM(D29:D31)</f>
        <v>7925</v>
      </c>
      <c r="E28" s="165">
        <f t="shared" si="26"/>
        <v>2331.1999999999998</v>
      </c>
      <c r="F28" s="165">
        <f t="shared" ref="F28" si="27">SUM(F29:F31)</f>
        <v>43905.599999999999</v>
      </c>
      <c r="G28" s="165">
        <f t="shared" si="26"/>
        <v>2354.9</v>
      </c>
      <c r="H28" s="151">
        <f t="shared" si="2"/>
        <v>2.4E-2</v>
      </c>
      <c r="I28" s="153">
        <f t="shared" si="5"/>
        <v>1.01</v>
      </c>
      <c r="J28" s="98">
        <f t="shared" si="6"/>
        <v>-5570.1</v>
      </c>
      <c r="K28" s="97">
        <f t="shared" si="7"/>
        <v>0.29699999999999999</v>
      </c>
      <c r="L28" s="125">
        <f t="shared" si="11"/>
        <v>-41550.699999999997</v>
      </c>
      <c r="M28" s="24"/>
    </row>
    <row r="29" spans="1:13" s="20" customFormat="1" ht="87.75" customHeight="1" x14ac:dyDescent="0.2">
      <c r="A29" s="15" t="s">
        <v>188</v>
      </c>
      <c r="B29" s="53" t="s">
        <v>120</v>
      </c>
      <c r="C29" s="164">
        <v>1700</v>
      </c>
      <c r="D29" s="28">
        <v>1700</v>
      </c>
      <c r="E29" s="198">
        <v>425</v>
      </c>
      <c r="F29" s="42">
        <v>1221.0999999999999</v>
      </c>
      <c r="G29" s="42">
        <v>422.7</v>
      </c>
      <c r="H29" s="146">
        <f t="shared" si="2"/>
        <v>4.0000000000000001E-3</v>
      </c>
      <c r="I29" s="153">
        <f t="shared" si="5"/>
        <v>0.995</v>
      </c>
      <c r="J29" s="118">
        <f t="shared" si="6"/>
        <v>-1277.3</v>
      </c>
      <c r="K29" s="117">
        <f t="shared" si="7"/>
        <v>0.249</v>
      </c>
      <c r="L29" s="125">
        <f t="shared" si="11"/>
        <v>-798.4</v>
      </c>
      <c r="M29" s="24"/>
    </row>
    <row r="30" spans="1:13" s="20" customFormat="1" ht="54" x14ac:dyDescent="0.2">
      <c r="A30" s="15" t="s">
        <v>191</v>
      </c>
      <c r="B30" s="53" t="s">
        <v>42</v>
      </c>
      <c r="C30" s="164">
        <v>6225</v>
      </c>
      <c r="D30" s="28">
        <v>6225</v>
      </c>
      <c r="E30" s="198">
        <v>1906.2</v>
      </c>
      <c r="F30" s="42">
        <v>1273.0999999999999</v>
      </c>
      <c r="G30" s="42">
        <v>1932.2</v>
      </c>
      <c r="H30" s="146">
        <f t="shared" si="2"/>
        <v>0.02</v>
      </c>
      <c r="I30" s="153">
        <f t="shared" si="5"/>
        <v>1.014</v>
      </c>
      <c r="J30" s="118">
        <f t="shared" si="6"/>
        <v>-4292.8</v>
      </c>
      <c r="K30" s="117">
        <f t="shared" si="7"/>
        <v>0.31</v>
      </c>
      <c r="L30" s="125">
        <f t="shared" si="11"/>
        <v>659.1</v>
      </c>
      <c r="M30" s="24"/>
    </row>
    <row r="31" spans="1:13" s="20" customFormat="1" ht="54" x14ac:dyDescent="0.2">
      <c r="A31" s="15" t="s">
        <v>190</v>
      </c>
      <c r="B31" s="53" t="s">
        <v>152</v>
      </c>
      <c r="C31" s="164">
        <v>0</v>
      </c>
      <c r="D31" s="28">
        <v>0</v>
      </c>
      <c r="E31" s="198">
        <v>0</v>
      </c>
      <c r="F31" s="42">
        <v>41411.4</v>
      </c>
      <c r="G31" s="42">
        <v>0</v>
      </c>
      <c r="H31" s="146">
        <f t="shared" ref="H31" si="28">G31/Всего_доходов_2003</f>
        <v>0</v>
      </c>
      <c r="I31" s="153" t="str">
        <f t="shared" ref="I31" si="29">IF(E31=0,"0,0%",G31/E31)</f>
        <v>0,0%</v>
      </c>
      <c r="J31" s="118">
        <f t="shared" ref="J31" si="30">G31-D31</f>
        <v>0</v>
      </c>
      <c r="K31" s="117" t="str">
        <f>IF(G31=0,"0,0%", G31/D31)</f>
        <v>0,0%</v>
      </c>
      <c r="L31" s="125">
        <f t="shared" si="11"/>
        <v>-41411.4</v>
      </c>
      <c r="M31" s="24"/>
    </row>
    <row r="32" spans="1:13" s="20" customFormat="1" x14ac:dyDescent="0.2">
      <c r="A32" s="55" t="s">
        <v>150</v>
      </c>
      <c r="B32" s="56" t="s">
        <v>151</v>
      </c>
      <c r="C32" s="166">
        <f>SUM(C33:C34)</f>
        <v>0</v>
      </c>
      <c r="D32" s="166">
        <f t="shared" ref="D32:G32" si="31">SUM(D33:D34)</f>
        <v>0</v>
      </c>
      <c r="E32" s="166">
        <f t="shared" si="31"/>
        <v>0</v>
      </c>
      <c r="F32" s="166">
        <f t="shared" ref="F32" si="32">SUM(F33:F34)</f>
        <v>10</v>
      </c>
      <c r="G32" s="166">
        <f t="shared" si="31"/>
        <v>106.8</v>
      </c>
      <c r="H32" s="151">
        <f t="shared" si="2"/>
        <v>1E-3</v>
      </c>
      <c r="I32" s="153" t="str">
        <f t="shared" si="5"/>
        <v>0,0%</v>
      </c>
      <c r="J32" s="98">
        <f t="shared" ref="J32:J33" si="33">G32-D32</f>
        <v>106.8</v>
      </c>
      <c r="K32" s="117" t="str">
        <f>IF(D32=0,"0,0%", G32/D32)</f>
        <v>0,0%</v>
      </c>
      <c r="L32" s="125">
        <f t="shared" si="11"/>
        <v>96.8</v>
      </c>
      <c r="M32" s="24"/>
    </row>
    <row r="33" spans="1:13" s="20" customFormat="1" ht="54" x14ac:dyDescent="0.2">
      <c r="A33" s="15" t="s">
        <v>177</v>
      </c>
      <c r="B33" s="53" t="s">
        <v>178</v>
      </c>
      <c r="C33" s="164">
        <v>0</v>
      </c>
      <c r="D33" s="28">
        <v>0</v>
      </c>
      <c r="E33" s="198">
        <v>0</v>
      </c>
      <c r="F33" s="42">
        <v>0</v>
      </c>
      <c r="G33" s="42">
        <v>10.3</v>
      </c>
      <c r="H33" s="146">
        <f t="shared" si="2"/>
        <v>0</v>
      </c>
      <c r="I33" s="153" t="str">
        <f t="shared" si="5"/>
        <v>0,0%</v>
      </c>
      <c r="J33" s="118">
        <f t="shared" si="33"/>
        <v>10.3</v>
      </c>
      <c r="K33" s="117" t="str">
        <f>IF(D33=0,"0,0%", G33/D33)</f>
        <v>0,0%</v>
      </c>
      <c r="L33" s="125">
        <f t="shared" si="11"/>
        <v>10.3</v>
      </c>
      <c r="M33" s="24"/>
    </row>
    <row r="34" spans="1:13" s="20" customFormat="1" ht="54" x14ac:dyDescent="0.2">
      <c r="A34" s="15" t="s">
        <v>226</v>
      </c>
      <c r="B34" s="53" t="s">
        <v>178</v>
      </c>
      <c r="C34" s="164">
        <v>0</v>
      </c>
      <c r="D34" s="28">
        <v>0</v>
      </c>
      <c r="E34" s="198">
        <v>0</v>
      </c>
      <c r="F34" s="42">
        <v>10</v>
      </c>
      <c r="G34" s="42">
        <v>96.5</v>
      </c>
      <c r="H34" s="146">
        <f t="shared" ref="H34" si="34">G34/Всего_доходов_2003</f>
        <v>1E-3</v>
      </c>
      <c r="I34" s="153" t="str">
        <f t="shared" ref="I34" si="35">IF(E34=0,"0,0%",G34/E34)</f>
        <v>0,0%</v>
      </c>
      <c r="J34" s="118">
        <f t="shared" ref="J34" si="36">G34-D34</f>
        <v>96.5</v>
      </c>
      <c r="K34" s="117" t="str">
        <f>IF(D34=0,"0,0%", G34/D34)</f>
        <v>0,0%</v>
      </c>
      <c r="L34" s="125">
        <f t="shared" si="11"/>
        <v>86.5</v>
      </c>
      <c r="M34" s="24"/>
    </row>
    <row r="35" spans="1:13" s="20" customFormat="1" x14ac:dyDescent="0.2">
      <c r="A35" s="55" t="s">
        <v>3</v>
      </c>
      <c r="B35" s="56" t="s">
        <v>5</v>
      </c>
      <c r="C35" s="166">
        <f>SUM(C36:C37)</f>
        <v>235.5</v>
      </c>
      <c r="D35" s="166">
        <f t="shared" ref="D35:G35" si="37">SUM(D36:D37)</f>
        <v>235.5</v>
      </c>
      <c r="E35" s="166">
        <f t="shared" si="37"/>
        <v>0</v>
      </c>
      <c r="F35" s="166">
        <f t="shared" ref="F35" si="38">SUM(F36:F37)</f>
        <v>0</v>
      </c>
      <c r="G35" s="166">
        <f t="shared" si="37"/>
        <v>0</v>
      </c>
      <c r="H35" s="155">
        <f t="shared" ref="H35:H36" si="39">G35-E35</f>
        <v>0</v>
      </c>
      <c r="I35" s="153" t="str">
        <f t="shared" si="5"/>
        <v>0,0%</v>
      </c>
      <c r="J35" s="98">
        <f t="shared" si="6"/>
        <v>-235.5</v>
      </c>
      <c r="K35" s="117">
        <v>0</v>
      </c>
      <c r="L35" s="125">
        <f t="shared" si="11"/>
        <v>0</v>
      </c>
      <c r="M35" s="24"/>
    </row>
    <row r="36" spans="1:13" s="20" customFormat="1" ht="27" hidden="1" x14ac:dyDescent="0.2">
      <c r="A36" s="15" t="s">
        <v>179</v>
      </c>
      <c r="B36" s="53" t="s">
        <v>49</v>
      </c>
      <c r="C36" s="164">
        <v>0</v>
      </c>
      <c r="D36" s="28">
        <v>0</v>
      </c>
      <c r="E36" s="198">
        <v>0</v>
      </c>
      <c r="F36" s="42">
        <v>0</v>
      </c>
      <c r="G36" s="42">
        <v>0</v>
      </c>
      <c r="H36" s="154">
        <f t="shared" si="39"/>
        <v>0</v>
      </c>
      <c r="I36" s="153" t="str">
        <f t="shared" si="5"/>
        <v>0,0%</v>
      </c>
      <c r="J36" s="118">
        <f t="shared" si="6"/>
        <v>0</v>
      </c>
      <c r="K36" s="117">
        <v>0</v>
      </c>
      <c r="L36" s="125">
        <f t="shared" si="11"/>
        <v>0</v>
      </c>
      <c r="M36" s="24"/>
    </row>
    <row r="37" spans="1:13" s="20" customFormat="1" ht="27" x14ac:dyDescent="0.2">
      <c r="A37" s="15" t="s">
        <v>184</v>
      </c>
      <c r="B37" s="53" t="s">
        <v>189</v>
      </c>
      <c r="C37" s="164">
        <v>235.5</v>
      </c>
      <c r="D37" s="28">
        <v>235.5</v>
      </c>
      <c r="E37" s="198">
        <v>0</v>
      </c>
      <c r="F37" s="42">
        <v>0</v>
      </c>
      <c r="G37" s="42">
        <v>0</v>
      </c>
      <c r="H37" s="154">
        <f t="shared" ref="H37" si="40">G37-E37</f>
        <v>0</v>
      </c>
      <c r="I37" s="153" t="str">
        <f t="shared" ref="I37" si="41">IF(E37=0,"0,0%",G37/E37)</f>
        <v>0,0%</v>
      </c>
      <c r="J37" s="118">
        <f t="shared" ref="J37" si="42">G37-D37</f>
        <v>-235.5</v>
      </c>
      <c r="K37" s="117">
        <v>0</v>
      </c>
      <c r="L37" s="125">
        <f t="shared" ref="L37" si="43">G37-F37</f>
        <v>0</v>
      </c>
      <c r="M37" s="24"/>
    </row>
    <row r="38" spans="1:13" s="20" customFormat="1" x14ac:dyDescent="0.2">
      <c r="A38" s="55" t="s">
        <v>39</v>
      </c>
      <c r="B38" s="60" t="s">
        <v>4</v>
      </c>
      <c r="C38" s="166">
        <f>SUM(C39,C41,C46,C44)</f>
        <v>10595.9</v>
      </c>
      <c r="D38" s="166">
        <f t="shared" ref="D38:G38" si="44">SUM(D39,D41,D46,D44)</f>
        <v>10595.9</v>
      </c>
      <c r="E38" s="166">
        <f t="shared" si="44"/>
        <v>2516.4</v>
      </c>
      <c r="F38" s="166">
        <f t="shared" ref="F38" si="45">SUM(F39,F41,F46,F44)</f>
        <v>2422.4</v>
      </c>
      <c r="G38" s="166">
        <f t="shared" si="44"/>
        <v>1677.6</v>
      </c>
      <c r="H38" s="151">
        <f t="shared" ref="H38:H47" si="46">G38/Всего_доходов_2003</f>
        <v>1.7000000000000001E-2</v>
      </c>
      <c r="I38" s="153">
        <f t="shared" si="5"/>
        <v>0.66700000000000004</v>
      </c>
      <c r="J38" s="98">
        <f t="shared" si="6"/>
        <v>-8918.2999999999993</v>
      </c>
      <c r="K38" s="97">
        <f t="shared" si="7"/>
        <v>0.158</v>
      </c>
      <c r="L38" s="125">
        <f t="shared" si="11"/>
        <v>-744.8</v>
      </c>
      <c r="M38" s="24"/>
    </row>
    <row r="39" spans="1:13" s="20" customFormat="1" ht="27" x14ac:dyDescent="0.2">
      <c r="A39" s="61" t="s">
        <v>40</v>
      </c>
      <c r="B39" s="62" t="s">
        <v>227</v>
      </c>
      <c r="C39" s="166">
        <f>C40</f>
        <v>10595.9</v>
      </c>
      <c r="D39" s="166">
        <f t="shared" ref="D39:G39" si="47">D40</f>
        <v>10595.9</v>
      </c>
      <c r="E39" s="166">
        <f t="shared" si="47"/>
        <v>2516.4</v>
      </c>
      <c r="F39" s="166">
        <f t="shared" si="47"/>
        <v>2422.4</v>
      </c>
      <c r="G39" s="166">
        <f t="shared" si="47"/>
        <v>1677.6</v>
      </c>
      <c r="H39" s="151">
        <f t="shared" si="46"/>
        <v>1.7000000000000001E-2</v>
      </c>
      <c r="I39" s="153">
        <f t="shared" si="5"/>
        <v>0.66700000000000004</v>
      </c>
      <c r="J39" s="98">
        <f t="shared" si="6"/>
        <v>-8918.2999999999993</v>
      </c>
      <c r="K39" s="97">
        <f t="shared" si="7"/>
        <v>0.158</v>
      </c>
      <c r="L39" s="125">
        <f t="shared" si="11"/>
        <v>-744.8</v>
      </c>
      <c r="M39" s="24"/>
    </row>
    <row r="40" spans="1:13" s="20" customFormat="1" ht="27" x14ac:dyDescent="0.2">
      <c r="A40" s="63" t="s">
        <v>229</v>
      </c>
      <c r="B40" s="64" t="s">
        <v>228</v>
      </c>
      <c r="C40" s="164">
        <v>10595.9</v>
      </c>
      <c r="D40" s="42">
        <v>10595.9</v>
      </c>
      <c r="E40" s="198">
        <v>2516.4</v>
      </c>
      <c r="F40" s="42">
        <v>2422.4</v>
      </c>
      <c r="G40" s="42">
        <v>1677.6</v>
      </c>
      <c r="H40" s="146">
        <f t="shared" si="46"/>
        <v>1.7000000000000001E-2</v>
      </c>
      <c r="I40" s="153">
        <f t="shared" si="5"/>
        <v>0.66700000000000004</v>
      </c>
      <c r="J40" s="118">
        <f t="shared" si="6"/>
        <v>-8918.2999999999993</v>
      </c>
      <c r="K40" s="117">
        <f t="shared" si="7"/>
        <v>0.158</v>
      </c>
      <c r="L40" s="125">
        <f t="shared" si="11"/>
        <v>-744.8</v>
      </c>
      <c r="M40" s="24"/>
    </row>
    <row r="41" spans="1:13" s="20" customFormat="1" ht="40.5" hidden="1" customHeight="1" x14ac:dyDescent="0.2">
      <c r="A41" s="65" t="s">
        <v>121</v>
      </c>
      <c r="B41" s="60" t="s">
        <v>122</v>
      </c>
      <c r="C41" s="166">
        <f>C42+C43</f>
        <v>0</v>
      </c>
      <c r="D41" s="69">
        <f>D42+D43</f>
        <v>0</v>
      </c>
      <c r="E41" s="199">
        <f>E42+E43</f>
        <v>0</v>
      </c>
      <c r="F41" s="69">
        <f>F42+F43</f>
        <v>0</v>
      </c>
      <c r="G41" s="69">
        <f>G42+G43</f>
        <v>0</v>
      </c>
      <c r="H41" s="151">
        <f t="shared" si="46"/>
        <v>0</v>
      </c>
      <c r="I41" s="153" t="str">
        <f t="shared" si="5"/>
        <v>0,0%</v>
      </c>
      <c r="J41" s="97">
        <f t="shared" ref="J41:J47" si="48">G41/Всего_доходов_2003</f>
        <v>0</v>
      </c>
      <c r="K41" s="98">
        <f>G41-D41</f>
        <v>0</v>
      </c>
      <c r="L41" s="125">
        <f t="shared" si="11"/>
        <v>0</v>
      </c>
      <c r="M41" s="24"/>
    </row>
    <row r="42" spans="1:13" s="26" customFormat="1" ht="67.5" hidden="1" customHeight="1" x14ac:dyDescent="0.25">
      <c r="A42" s="140" t="s">
        <v>138</v>
      </c>
      <c r="B42" s="139" t="s">
        <v>136</v>
      </c>
      <c r="C42" s="164">
        <v>0</v>
      </c>
      <c r="D42" s="42">
        <v>0</v>
      </c>
      <c r="E42" s="198">
        <v>0</v>
      </c>
      <c r="F42" s="42">
        <v>0</v>
      </c>
      <c r="G42" s="42">
        <v>0</v>
      </c>
      <c r="H42" s="146">
        <f t="shared" si="46"/>
        <v>0</v>
      </c>
      <c r="I42" s="153" t="str">
        <f t="shared" si="5"/>
        <v>0,0%</v>
      </c>
      <c r="J42" s="118">
        <f>G42-D42</f>
        <v>0</v>
      </c>
      <c r="K42" s="117">
        <v>0</v>
      </c>
      <c r="L42" s="125">
        <f t="shared" si="11"/>
        <v>0</v>
      </c>
    </row>
    <row r="43" spans="1:13" s="26" customFormat="1" ht="54" hidden="1" customHeight="1" x14ac:dyDescent="0.25">
      <c r="A43" s="140" t="s">
        <v>139</v>
      </c>
      <c r="B43" s="139" t="s">
        <v>137</v>
      </c>
      <c r="C43" s="164">
        <v>0</v>
      </c>
      <c r="D43" s="42">
        <v>0</v>
      </c>
      <c r="E43" s="198">
        <v>0</v>
      </c>
      <c r="F43" s="42">
        <v>0</v>
      </c>
      <c r="G43" s="42">
        <v>0</v>
      </c>
      <c r="H43" s="146">
        <f t="shared" si="46"/>
        <v>0</v>
      </c>
      <c r="I43" s="153" t="str">
        <f t="shared" si="5"/>
        <v>0,0%</v>
      </c>
      <c r="J43" s="118">
        <f>G43-D43</f>
        <v>0</v>
      </c>
      <c r="K43" s="117">
        <v>0</v>
      </c>
      <c r="L43" s="125">
        <f t="shared" si="11"/>
        <v>0</v>
      </c>
    </row>
    <row r="44" spans="1:13" s="26" customFormat="1" ht="13.5" hidden="1" customHeight="1" x14ac:dyDescent="0.25">
      <c r="A44" s="187" t="s">
        <v>159</v>
      </c>
      <c r="B44" s="188" t="s">
        <v>158</v>
      </c>
      <c r="C44" s="167">
        <f>C45</f>
        <v>0</v>
      </c>
      <c r="D44" s="80">
        <f>D45</f>
        <v>0</v>
      </c>
      <c r="E44" s="200">
        <f>E45</f>
        <v>0</v>
      </c>
      <c r="F44" s="80">
        <f>F45</f>
        <v>0</v>
      </c>
      <c r="G44" s="80">
        <f>G45</f>
        <v>0</v>
      </c>
      <c r="H44" s="151">
        <f t="shared" ref="H44:H45" si="49">G44/Всего_доходов_2003</f>
        <v>0</v>
      </c>
      <c r="I44" s="153" t="str">
        <f t="shared" ref="I44:I45" si="50">IF(E44=0,"0,0%",G44/E44)</f>
        <v>0,0%</v>
      </c>
      <c r="J44" s="97">
        <f t="shared" ref="J44:J45" si="51">G44/Всего_доходов_2003</f>
        <v>0</v>
      </c>
      <c r="K44" s="98">
        <f>G44-D44</f>
        <v>0</v>
      </c>
      <c r="L44" s="125">
        <f t="shared" si="11"/>
        <v>0</v>
      </c>
    </row>
    <row r="45" spans="1:13" s="26" customFormat="1" ht="40.5" hidden="1" customHeight="1" x14ac:dyDescent="0.25">
      <c r="A45" s="140" t="s">
        <v>156</v>
      </c>
      <c r="B45" s="139" t="s">
        <v>157</v>
      </c>
      <c r="C45" s="164">
        <v>0</v>
      </c>
      <c r="D45" s="42">
        <v>0</v>
      </c>
      <c r="E45" s="198">
        <v>0</v>
      </c>
      <c r="F45" s="42">
        <v>0</v>
      </c>
      <c r="G45" s="42">
        <v>0</v>
      </c>
      <c r="H45" s="146">
        <f t="shared" si="49"/>
        <v>0</v>
      </c>
      <c r="I45" s="153" t="str">
        <f t="shared" si="50"/>
        <v>0,0%</v>
      </c>
      <c r="J45" s="117">
        <f t="shared" si="51"/>
        <v>0</v>
      </c>
      <c r="K45" s="118">
        <f>G45-D45</f>
        <v>0</v>
      </c>
      <c r="L45" s="125">
        <f t="shared" si="11"/>
        <v>0</v>
      </c>
    </row>
    <row r="46" spans="1:13" s="20" customFormat="1" ht="40.5" hidden="1" x14ac:dyDescent="0.2">
      <c r="A46" s="65" t="s">
        <v>123</v>
      </c>
      <c r="B46" s="60" t="s">
        <v>124</v>
      </c>
      <c r="C46" s="167">
        <f>C47</f>
        <v>0</v>
      </c>
      <c r="D46" s="80">
        <f>D47</f>
        <v>0</v>
      </c>
      <c r="E46" s="200">
        <f>E47</f>
        <v>0</v>
      </c>
      <c r="F46" s="80">
        <f>F47</f>
        <v>0</v>
      </c>
      <c r="G46" s="80">
        <f>G47</f>
        <v>0</v>
      </c>
      <c r="H46" s="151">
        <f t="shared" si="46"/>
        <v>0</v>
      </c>
      <c r="I46" s="153" t="str">
        <f t="shared" si="5"/>
        <v>0,0%</v>
      </c>
      <c r="J46" s="97">
        <f t="shared" si="48"/>
        <v>0</v>
      </c>
      <c r="K46" s="98">
        <f>G46-D46</f>
        <v>0</v>
      </c>
      <c r="L46" s="125">
        <f t="shared" si="11"/>
        <v>0</v>
      </c>
      <c r="M46" s="24"/>
    </row>
    <row r="47" spans="1:13" s="20" customFormat="1" ht="40.5" hidden="1" x14ac:dyDescent="0.2">
      <c r="A47" s="63" t="s">
        <v>125</v>
      </c>
      <c r="B47" s="64" t="s">
        <v>67</v>
      </c>
      <c r="C47" s="164">
        <v>0</v>
      </c>
      <c r="D47" s="42">
        <v>0</v>
      </c>
      <c r="E47" s="198">
        <v>0</v>
      </c>
      <c r="F47" s="42">
        <v>0</v>
      </c>
      <c r="G47" s="42">
        <v>0</v>
      </c>
      <c r="H47" s="146">
        <f t="shared" si="46"/>
        <v>0</v>
      </c>
      <c r="I47" s="153" t="str">
        <f t="shared" si="5"/>
        <v>0,0%</v>
      </c>
      <c r="J47" s="117">
        <f t="shared" si="48"/>
        <v>0</v>
      </c>
      <c r="K47" s="118">
        <f>G47-D47</f>
        <v>0</v>
      </c>
      <c r="L47" s="125">
        <f t="shared" si="11"/>
        <v>0</v>
      </c>
      <c r="M47" s="24"/>
    </row>
    <row r="48" spans="1:13" s="27" customFormat="1" x14ac:dyDescent="0.2">
      <c r="A48" s="147"/>
      <c r="B48" s="148" t="s">
        <v>6</v>
      </c>
      <c r="C48" s="149">
        <f>C6+C38</f>
        <v>620999.9</v>
      </c>
      <c r="D48" s="149">
        <f>D6+D38</f>
        <v>620999.9</v>
      </c>
      <c r="E48" s="201">
        <f>E6+E38</f>
        <v>101554.3</v>
      </c>
      <c r="F48" s="149">
        <f>F6+F38</f>
        <v>148575.79999999999</v>
      </c>
      <c r="G48" s="149">
        <f>G6+G38</f>
        <v>99085.4</v>
      </c>
      <c r="H48" s="97">
        <f t="shared" ref="H48" si="52">G48/Всего_доходов_2003</f>
        <v>1</v>
      </c>
      <c r="I48" s="153">
        <f t="shared" si="5"/>
        <v>0.97599999999999998</v>
      </c>
      <c r="J48" s="98">
        <f t="shared" ref="J48" si="53">G48-D48</f>
        <v>-521914.5</v>
      </c>
      <c r="K48" s="97">
        <f>G48/D48</f>
        <v>0.16</v>
      </c>
      <c r="L48" s="125">
        <f t="shared" si="11"/>
        <v>-49490.400000000001</v>
      </c>
    </row>
    <row r="49" spans="1:12" s="13" customFormat="1" x14ac:dyDescent="0.2">
      <c r="A49" s="49"/>
      <c r="B49" s="4"/>
      <c r="C49" s="4"/>
      <c r="D49" s="29"/>
      <c r="E49" s="5"/>
      <c r="F49" s="5"/>
      <c r="G49" s="5"/>
      <c r="H49" s="66"/>
      <c r="I49" s="66"/>
      <c r="J49" s="67"/>
      <c r="K49" s="68"/>
      <c r="L49" s="5"/>
    </row>
    <row r="50" spans="1:12" ht="16.5" x14ac:dyDescent="0.2">
      <c r="A50" s="17" t="s">
        <v>10</v>
      </c>
      <c r="B50" s="168" t="s">
        <v>7</v>
      </c>
      <c r="C50" s="4"/>
      <c r="D50" s="29"/>
      <c r="E50" s="7"/>
      <c r="F50" s="7"/>
      <c r="G50" s="7"/>
      <c r="H50" s="81"/>
      <c r="I50" s="81"/>
      <c r="J50" s="82"/>
      <c r="K50" s="81"/>
      <c r="L50" s="7"/>
    </row>
    <row r="51" spans="1:12" s="27" customFormat="1" x14ac:dyDescent="0.2">
      <c r="A51" s="94" t="s">
        <v>21</v>
      </c>
      <c r="B51" s="95" t="s">
        <v>25</v>
      </c>
      <c r="C51" s="96">
        <f>C52+C53+C54+C57+C60+C61+C62</f>
        <v>19923.599999999999</v>
      </c>
      <c r="D51" s="96">
        <f>D52+D53+D54+D57+D60+D61+D62</f>
        <v>19923.599999999999</v>
      </c>
      <c r="E51" s="96">
        <f>E52+E53+E54+E57+E60+E61+E62</f>
        <v>3613.8</v>
      </c>
      <c r="F51" s="96">
        <f>F52+F53+F54+F57+F60+F61+F62</f>
        <v>3699</v>
      </c>
      <c r="G51" s="96">
        <f>G52+G53+G54+G57+G60+G61+G62</f>
        <v>3613.8</v>
      </c>
      <c r="H51" s="97">
        <f>G51/G196</f>
        <v>3.6999999999999998E-2</v>
      </c>
      <c r="I51" s="153">
        <f>IF(E51=0,"0,0%",G51/E51)</f>
        <v>1</v>
      </c>
      <c r="J51" s="98">
        <f>G51-D51</f>
        <v>-16309.8</v>
      </c>
      <c r="K51" s="97">
        <f>G51/D51</f>
        <v>0.18099999999999999</v>
      </c>
      <c r="L51" s="99">
        <f>G51-F51</f>
        <v>-85.2</v>
      </c>
    </row>
    <row r="52" spans="1:12" ht="40.5" x14ac:dyDescent="0.2">
      <c r="A52" s="16" t="s">
        <v>46</v>
      </c>
      <c r="B52" s="10" t="s">
        <v>54</v>
      </c>
      <c r="C52" s="129">
        <v>1747.4</v>
      </c>
      <c r="D52" s="30">
        <v>1747.4</v>
      </c>
      <c r="E52" s="7">
        <v>637.29999999999995</v>
      </c>
      <c r="F52" s="7">
        <v>628.1</v>
      </c>
      <c r="G52" s="7">
        <v>637.29999999999995</v>
      </c>
      <c r="H52" s="108">
        <f>G52/$G$196</f>
        <v>6.0000000000000001E-3</v>
      </c>
      <c r="I52" s="153">
        <f>IF(E52=0,"0,0%",G52/E52)</f>
        <v>1</v>
      </c>
      <c r="J52" s="109">
        <f t="shared" ref="J52:J161" si="54">G52-D52</f>
        <v>-1110.0999999999999</v>
      </c>
      <c r="K52" s="108">
        <f t="shared" ref="K52:K150" si="55">G52/D52</f>
        <v>0.36499999999999999</v>
      </c>
      <c r="L52" s="138">
        <f>G52-F52</f>
        <v>9.1999999999999993</v>
      </c>
    </row>
    <row r="53" spans="1:12" ht="54" x14ac:dyDescent="0.2">
      <c r="A53" s="16" t="s">
        <v>47</v>
      </c>
      <c r="B53" s="10" t="s">
        <v>126</v>
      </c>
      <c r="C53" s="129">
        <v>11269</v>
      </c>
      <c r="D53" s="30">
        <v>11269</v>
      </c>
      <c r="E53" s="7">
        <v>1906.3</v>
      </c>
      <c r="F53" s="7">
        <v>2267.1999999999998</v>
      </c>
      <c r="G53" s="7">
        <v>1906.3</v>
      </c>
      <c r="H53" s="108">
        <f>G53/$G$196</f>
        <v>1.9E-2</v>
      </c>
      <c r="I53" s="153">
        <f>IF(E53=0,"0,0%",G53/E53)</f>
        <v>1</v>
      </c>
      <c r="J53" s="109">
        <f t="shared" si="54"/>
        <v>-9362.7000000000007</v>
      </c>
      <c r="K53" s="108">
        <f t="shared" si="55"/>
        <v>0.16900000000000001</v>
      </c>
      <c r="L53" s="138">
        <f>G53-F53</f>
        <v>-360.9</v>
      </c>
    </row>
    <row r="54" spans="1:12" ht="54" x14ac:dyDescent="0.2">
      <c r="A54" s="16" t="s">
        <v>160</v>
      </c>
      <c r="B54" s="10" t="s">
        <v>127</v>
      </c>
      <c r="C54" s="129">
        <v>3466.4</v>
      </c>
      <c r="D54" s="30">
        <v>3466.4</v>
      </c>
      <c r="E54" s="7">
        <v>710.3</v>
      </c>
      <c r="F54" s="7">
        <v>573.79999999999995</v>
      </c>
      <c r="G54" s="7">
        <v>710.3</v>
      </c>
      <c r="H54" s="108">
        <f>G54/$G$196</f>
        <v>7.0000000000000001E-3</v>
      </c>
      <c r="I54" s="153">
        <f>IF(E54=0,"0,0%",G54/E54)</f>
        <v>1</v>
      </c>
      <c r="J54" s="109">
        <f t="shared" si="54"/>
        <v>-2756.1</v>
      </c>
      <c r="K54" s="108">
        <f t="shared" si="55"/>
        <v>0.20499999999999999</v>
      </c>
      <c r="L54" s="138">
        <f>G54-F54</f>
        <v>136.5</v>
      </c>
    </row>
    <row r="55" spans="1:12" x14ac:dyDescent="0.2">
      <c r="A55" s="16"/>
      <c r="B55" s="10" t="s">
        <v>27</v>
      </c>
      <c r="C55" s="129"/>
      <c r="D55" s="30"/>
      <c r="E55" s="7"/>
      <c r="F55" s="7"/>
      <c r="G55" s="7"/>
      <c r="H55" s="108"/>
      <c r="I55" s="108"/>
      <c r="J55" s="109"/>
      <c r="K55" s="108"/>
      <c r="L55" s="107"/>
    </row>
    <row r="56" spans="1:12" s="48" customFormat="1" ht="40.5" x14ac:dyDescent="0.2">
      <c r="A56" s="16"/>
      <c r="B56" s="39" t="s">
        <v>161</v>
      </c>
      <c r="C56" s="170">
        <v>3466.4</v>
      </c>
      <c r="D56" s="40">
        <v>3466.4</v>
      </c>
      <c r="E56" s="40">
        <v>710.3</v>
      </c>
      <c r="F56" s="40">
        <v>573.79999999999995</v>
      </c>
      <c r="G56" s="40">
        <v>710.3</v>
      </c>
      <c r="H56" s="117">
        <f>G56/$G$196</f>
        <v>7.0000000000000001E-3</v>
      </c>
      <c r="I56" s="153">
        <f>IF(E56=0,"0,0%",G56/E56)</f>
        <v>1</v>
      </c>
      <c r="J56" s="118">
        <f>G56-D56</f>
        <v>-2756.1</v>
      </c>
      <c r="K56" s="117">
        <f>G56/D56</f>
        <v>0.20499999999999999</v>
      </c>
      <c r="L56" s="123">
        <f>G56-F56</f>
        <v>136.5</v>
      </c>
    </row>
    <row r="57" spans="1:12" ht="40.5" hidden="1" x14ac:dyDescent="0.2">
      <c r="A57" s="16" t="s">
        <v>56</v>
      </c>
      <c r="B57" s="10" t="s">
        <v>128</v>
      </c>
      <c r="C57" s="129">
        <v>0</v>
      </c>
      <c r="D57" s="30">
        <v>0</v>
      </c>
      <c r="E57" s="7">
        <v>0</v>
      </c>
      <c r="F57" s="7">
        <v>0</v>
      </c>
      <c r="G57" s="7">
        <v>0</v>
      </c>
      <c r="H57" s="108">
        <f>G57/$G$196</f>
        <v>0</v>
      </c>
      <c r="I57" s="153" t="str">
        <f>IF(E57=0,"0,0%",G57/E57)</f>
        <v>0,0%</v>
      </c>
      <c r="J57" s="109">
        <f t="shared" si="54"/>
        <v>0</v>
      </c>
      <c r="K57" s="108" t="e">
        <f t="shared" si="55"/>
        <v>#DIV/0!</v>
      </c>
      <c r="L57" s="107">
        <f t="shared" ref="L57:L161" si="56">G57-F57</f>
        <v>0</v>
      </c>
    </row>
    <row r="58" spans="1:12" ht="13.5" hidden="1" customHeight="1" x14ac:dyDescent="0.2">
      <c r="A58" s="16"/>
      <c r="B58" s="10" t="s">
        <v>27</v>
      </c>
      <c r="C58" s="129"/>
      <c r="D58" s="30"/>
      <c r="E58" s="7"/>
      <c r="F58" s="7"/>
      <c r="G58" s="7"/>
      <c r="H58" s="108"/>
      <c r="I58" s="108"/>
      <c r="J58" s="109"/>
      <c r="K58" s="108"/>
      <c r="L58" s="107"/>
    </row>
    <row r="59" spans="1:12" s="48" customFormat="1" ht="54" hidden="1" customHeight="1" x14ac:dyDescent="0.2">
      <c r="A59" s="16"/>
      <c r="B59" s="39" t="s">
        <v>153</v>
      </c>
      <c r="C59" s="170">
        <v>0</v>
      </c>
      <c r="D59" s="40">
        <v>0</v>
      </c>
      <c r="E59" s="40">
        <v>0</v>
      </c>
      <c r="F59" s="40">
        <v>0</v>
      </c>
      <c r="G59" s="40">
        <v>0</v>
      </c>
      <c r="H59" s="117">
        <f>G59/$G$196</f>
        <v>0</v>
      </c>
      <c r="I59" s="153" t="str">
        <f>IF(E59=0,"0,0%",G59/E59)</f>
        <v>0,0%</v>
      </c>
      <c r="J59" s="118">
        <f>G59-D59</f>
        <v>0</v>
      </c>
      <c r="K59" s="117">
        <v>0</v>
      </c>
      <c r="L59" s="123">
        <f>G59-F59</f>
        <v>0</v>
      </c>
    </row>
    <row r="60" spans="1:12" ht="13.5" hidden="1" customHeight="1" x14ac:dyDescent="0.2">
      <c r="A60" s="16" t="s">
        <v>132</v>
      </c>
      <c r="B60" s="10" t="s">
        <v>133</v>
      </c>
      <c r="C60" s="129">
        <v>0</v>
      </c>
      <c r="D60" s="30">
        <v>0</v>
      </c>
      <c r="E60" s="7">
        <v>0</v>
      </c>
      <c r="F60" s="7">
        <v>0</v>
      </c>
      <c r="G60" s="7">
        <v>0</v>
      </c>
      <c r="H60" s="108">
        <f>G60/$G$196</f>
        <v>0</v>
      </c>
      <c r="I60" s="153" t="str">
        <f>IF(E60=0,"0,0%",G60/E60)</f>
        <v>0,0%</v>
      </c>
      <c r="J60" s="109">
        <f t="shared" si="54"/>
        <v>0</v>
      </c>
      <c r="K60" s="108">
        <v>0</v>
      </c>
      <c r="L60" s="107">
        <f t="shared" si="56"/>
        <v>0</v>
      </c>
    </row>
    <row r="61" spans="1:12" x14ac:dyDescent="0.2">
      <c r="A61" s="16" t="s">
        <v>74</v>
      </c>
      <c r="B61" s="10" t="s">
        <v>23</v>
      </c>
      <c r="C61" s="129">
        <v>1000</v>
      </c>
      <c r="D61" s="30">
        <v>1000</v>
      </c>
      <c r="E61" s="7">
        <v>0</v>
      </c>
      <c r="F61" s="7">
        <v>0</v>
      </c>
      <c r="G61" s="7">
        <v>0</v>
      </c>
      <c r="H61" s="108">
        <f>G61/$G$196</f>
        <v>0</v>
      </c>
      <c r="I61" s="153" t="str">
        <f>IF(E61=0,"0,0%",G61/E61)</f>
        <v>0,0%</v>
      </c>
      <c r="J61" s="109">
        <f t="shared" si="54"/>
        <v>-1000</v>
      </c>
      <c r="K61" s="108">
        <f t="shared" si="55"/>
        <v>0</v>
      </c>
      <c r="L61" s="107">
        <f t="shared" si="56"/>
        <v>0</v>
      </c>
    </row>
    <row r="62" spans="1:12" s="1" customFormat="1" x14ac:dyDescent="0.2">
      <c r="A62" s="16" t="s">
        <v>78</v>
      </c>
      <c r="B62" s="10" t="s">
        <v>129</v>
      </c>
      <c r="C62" s="129">
        <v>2440.8000000000002</v>
      </c>
      <c r="D62" s="30">
        <v>2440.8000000000002</v>
      </c>
      <c r="E62" s="7">
        <v>359.9</v>
      </c>
      <c r="F62" s="7">
        <v>229.9</v>
      </c>
      <c r="G62" s="7">
        <v>359.9</v>
      </c>
      <c r="H62" s="108">
        <f>G62/$G$196</f>
        <v>4.0000000000000001E-3</v>
      </c>
      <c r="I62" s="153">
        <f>IF(E62=0,"0,0%",G62/E62)</f>
        <v>1</v>
      </c>
      <c r="J62" s="109">
        <f t="shared" si="54"/>
        <v>-2080.9</v>
      </c>
      <c r="K62" s="108">
        <f t="shared" si="55"/>
        <v>0.14699999999999999</v>
      </c>
      <c r="L62" s="107">
        <f t="shared" si="56"/>
        <v>130</v>
      </c>
    </row>
    <row r="63" spans="1:12" s="1" customFormat="1" ht="13.5" hidden="1" customHeight="1" x14ac:dyDescent="0.2">
      <c r="A63" s="16"/>
      <c r="B63" s="8" t="s">
        <v>27</v>
      </c>
      <c r="C63" s="129"/>
      <c r="D63" s="30"/>
      <c r="E63" s="7"/>
      <c r="F63" s="7"/>
      <c r="G63" s="7"/>
      <c r="H63" s="108"/>
      <c r="I63" s="108"/>
      <c r="J63" s="109"/>
      <c r="K63" s="108"/>
      <c r="L63" s="107"/>
    </row>
    <row r="64" spans="1:12" s="1" customFormat="1" ht="40.5" hidden="1" customHeight="1" x14ac:dyDescent="0.2">
      <c r="A64" s="16"/>
      <c r="B64" s="9" t="s">
        <v>104</v>
      </c>
      <c r="C64" s="129"/>
      <c r="D64" s="30"/>
      <c r="E64" s="7"/>
      <c r="F64" s="7"/>
      <c r="G64" s="7"/>
      <c r="H64" s="108">
        <f>G64/$G$196</f>
        <v>0</v>
      </c>
      <c r="I64" s="153" t="str">
        <f>IF(E64=0,"0,0%",G64/E64)</f>
        <v>0,0%</v>
      </c>
      <c r="J64" s="109">
        <f t="shared" si="54"/>
        <v>0</v>
      </c>
      <c r="K64" s="108" t="e">
        <f t="shared" si="55"/>
        <v>#DIV/0!</v>
      </c>
      <c r="L64" s="107">
        <f t="shared" si="56"/>
        <v>0</v>
      </c>
    </row>
    <row r="65" spans="1:12" s="1" customFormat="1" ht="13.5" hidden="1" customHeight="1" x14ac:dyDescent="0.2">
      <c r="A65" s="16"/>
      <c r="B65" s="9" t="s">
        <v>105</v>
      </c>
      <c r="C65" s="129"/>
      <c r="D65" s="30"/>
      <c r="E65" s="7"/>
      <c r="F65" s="7"/>
      <c r="G65" s="7"/>
      <c r="H65" s="108">
        <f>G65/$G$196</f>
        <v>0</v>
      </c>
      <c r="I65" s="153" t="str">
        <f>IF(E65=0,"0,0%",G65/E65)</f>
        <v>0,0%</v>
      </c>
      <c r="J65" s="109">
        <f t="shared" si="54"/>
        <v>0</v>
      </c>
      <c r="K65" s="108" t="e">
        <f t="shared" si="55"/>
        <v>#DIV/0!</v>
      </c>
      <c r="L65" s="107">
        <f t="shared" si="56"/>
        <v>0</v>
      </c>
    </row>
    <row r="66" spans="1:12" s="1" customFormat="1" x14ac:dyDescent="0.2">
      <c r="A66" s="134"/>
      <c r="B66" s="177" t="s">
        <v>140</v>
      </c>
      <c r="C66" s="141"/>
      <c r="D66" s="141"/>
      <c r="E66" s="136"/>
      <c r="F66" s="136"/>
      <c r="G66" s="136"/>
      <c r="H66" s="108"/>
      <c r="I66" s="108"/>
      <c r="J66" s="109"/>
      <c r="K66" s="108"/>
      <c r="L66" s="107"/>
    </row>
    <row r="67" spans="1:12" x14ac:dyDescent="0.2">
      <c r="A67" s="126"/>
      <c r="B67" s="127" t="s">
        <v>106</v>
      </c>
      <c r="C67" s="136">
        <v>12264.3</v>
      </c>
      <c r="D67" s="136">
        <v>12264.3</v>
      </c>
      <c r="E67" s="136">
        <v>2505</v>
      </c>
      <c r="F67" s="136">
        <v>2754.2</v>
      </c>
      <c r="G67" s="136">
        <v>2505</v>
      </c>
      <c r="H67" s="108">
        <f>G67/$G$196</f>
        <v>2.5999999999999999E-2</v>
      </c>
      <c r="I67" s="153">
        <f>IF(E67=0,"0,0%",G67/E67)</f>
        <v>1</v>
      </c>
      <c r="J67" s="109">
        <f t="shared" ref="J67:J69" si="57">G67-D67</f>
        <v>-9759.2999999999993</v>
      </c>
      <c r="K67" s="108">
        <f t="shared" ref="K67:K69" si="58">G67/D67</f>
        <v>0.20399999999999999</v>
      </c>
      <c r="L67" s="107">
        <f>G67-F67</f>
        <v>-249.2</v>
      </c>
    </row>
    <row r="68" spans="1:12" x14ac:dyDescent="0.2">
      <c r="A68" s="134"/>
      <c r="B68" s="127" t="s">
        <v>109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08">
        <f>G68/$G$196</f>
        <v>0</v>
      </c>
      <c r="I68" s="153" t="str">
        <f>IF(E68=0,"0,0%",G68/E68)</f>
        <v>0,0%</v>
      </c>
      <c r="J68" s="109">
        <f t="shared" ref="J68" si="59">G68-D68</f>
        <v>0</v>
      </c>
      <c r="K68" s="108" t="str">
        <f>IF(G68=0,"0,0%", G68/D68)</f>
        <v>0,0%</v>
      </c>
      <c r="L68" s="107">
        <f t="shared" ref="L68" si="60">G68-F68</f>
        <v>0</v>
      </c>
    </row>
    <row r="69" spans="1:12" x14ac:dyDescent="0.2">
      <c r="A69" s="126"/>
      <c r="B69" s="144" t="s">
        <v>168</v>
      </c>
      <c r="C69" s="141">
        <v>2193</v>
      </c>
      <c r="D69" s="141">
        <v>2193</v>
      </c>
      <c r="E69" s="141">
        <v>359.9</v>
      </c>
      <c r="F69" s="141">
        <v>0</v>
      </c>
      <c r="G69" s="141">
        <v>359.9</v>
      </c>
      <c r="H69" s="108">
        <f>G69/$G$196</f>
        <v>4.0000000000000001E-3</v>
      </c>
      <c r="I69" s="153">
        <f>IF(E69=0,"0,0%",G69/E69)</f>
        <v>1</v>
      </c>
      <c r="J69" s="109">
        <f t="shared" si="57"/>
        <v>-1833.1</v>
      </c>
      <c r="K69" s="108">
        <f t="shared" si="58"/>
        <v>0.16400000000000001</v>
      </c>
      <c r="L69" s="107">
        <f t="shared" ref="L69" si="61">G69-F69</f>
        <v>359.9</v>
      </c>
    </row>
    <row r="70" spans="1:12" s="27" customFormat="1" ht="27" x14ac:dyDescent="0.2">
      <c r="A70" s="94" t="s">
        <v>94</v>
      </c>
      <c r="B70" s="100" t="s">
        <v>95</v>
      </c>
      <c r="C70" s="96">
        <f>C72+C74</f>
        <v>11606.9</v>
      </c>
      <c r="D70" s="96">
        <f t="shared" ref="D70:G70" si="62">D72+D74</f>
        <v>11606.9</v>
      </c>
      <c r="E70" s="96">
        <f t="shared" si="62"/>
        <v>2614.1</v>
      </c>
      <c r="F70" s="96">
        <f t="shared" ref="F70" si="63">F72+F74</f>
        <v>2336</v>
      </c>
      <c r="G70" s="96">
        <f t="shared" si="62"/>
        <v>2614.1</v>
      </c>
      <c r="H70" s="97">
        <f>G70/$G$196</f>
        <v>2.7E-2</v>
      </c>
      <c r="I70" s="153">
        <f>IF(E70=0,"0,0%",G70/E70)</f>
        <v>1</v>
      </c>
      <c r="J70" s="98">
        <f t="shared" si="54"/>
        <v>-8992.7999999999993</v>
      </c>
      <c r="K70" s="97">
        <f t="shared" si="55"/>
        <v>0.22500000000000001</v>
      </c>
      <c r="L70" s="99">
        <f t="shared" si="56"/>
        <v>278.10000000000002</v>
      </c>
    </row>
    <row r="71" spans="1:12" s="27" customFormat="1" x14ac:dyDescent="0.2">
      <c r="A71" s="18"/>
      <c r="B71" s="189" t="s">
        <v>163</v>
      </c>
      <c r="C71" s="214"/>
      <c r="D71" s="190"/>
      <c r="E71" s="190"/>
      <c r="F71" s="190"/>
      <c r="G71" s="190"/>
      <c r="H71" s="215"/>
      <c r="I71" s="216"/>
      <c r="J71" s="217"/>
      <c r="K71" s="215"/>
      <c r="L71" s="203"/>
    </row>
    <row r="72" spans="1:12" s="48" customFormat="1" ht="40.5" hidden="1" customHeight="1" x14ac:dyDescent="0.2">
      <c r="A72" s="16" t="s">
        <v>162</v>
      </c>
      <c r="B72" s="19" t="s">
        <v>116</v>
      </c>
      <c r="C72" s="171">
        <v>0</v>
      </c>
      <c r="D72" s="22">
        <v>0</v>
      </c>
      <c r="E72" s="22">
        <v>0</v>
      </c>
      <c r="F72" s="22">
        <v>0</v>
      </c>
      <c r="G72" s="22">
        <v>0</v>
      </c>
      <c r="H72" s="108">
        <f>G72/$G$196</f>
        <v>0</v>
      </c>
      <c r="I72" s="153" t="str">
        <f>IF(E72=0,"0,0%",G72/E72)</f>
        <v>0,0%</v>
      </c>
      <c r="J72" s="109">
        <f t="shared" si="54"/>
        <v>0</v>
      </c>
      <c r="K72" s="108" t="e">
        <f t="shared" si="55"/>
        <v>#DIV/0!</v>
      </c>
      <c r="L72" s="107">
        <f t="shared" si="56"/>
        <v>0</v>
      </c>
    </row>
    <row r="73" spans="1:12" s="48" customFormat="1" ht="13.5" hidden="1" customHeight="1" x14ac:dyDescent="0.2">
      <c r="A73" s="16"/>
      <c r="B73" s="8" t="s">
        <v>27</v>
      </c>
      <c r="C73" s="171"/>
      <c r="D73" s="22"/>
      <c r="E73" s="40"/>
      <c r="F73" s="40"/>
      <c r="G73" s="40"/>
      <c r="H73" s="108"/>
      <c r="I73" s="108"/>
      <c r="J73" s="109"/>
      <c r="K73" s="108"/>
      <c r="L73" s="107"/>
    </row>
    <row r="74" spans="1:12" s="48" customFormat="1" ht="40.5" x14ac:dyDescent="0.2">
      <c r="A74" s="16" t="s">
        <v>162</v>
      </c>
      <c r="B74" s="39" t="s">
        <v>164</v>
      </c>
      <c r="C74" s="170">
        <v>11606.9</v>
      </c>
      <c r="D74" s="40">
        <v>11606.9</v>
      </c>
      <c r="E74" s="40">
        <v>2614.1</v>
      </c>
      <c r="F74" s="40">
        <v>2336</v>
      </c>
      <c r="G74" s="40">
        <v>2614.1</v>
      </c>
      <c r="H74" s="117">
        <f>G74/$G$196</f>
        <v>2.7E-2</v>
      </c>
      <c r="I74" s="153">
        <f>IF(E74=0,"0,0%",G74/E74)</f>
        <v>1</v>
      </c>
      <c r="J74" s="118">
        <f>G74-D74</f>
        <v>-8992.7999999999993</v>
      </c>
      <c r="K74" s="117">
        <f>G74/D74</f>
        <v>0.22500000000000001</v>
      </c>
      <c r="L74" s="123">
        <f>G74-F74</f>
        <v>278.10000000000002</v>
      </c>
    </row>
    <row r="75" spans="1:12" s="48" customFormat="1" ht="13.5" hidden="1" customHeight="1" x14ac:dyDescent="0.2">
      <c r="A75" s="134"/>
      <c r="B75" s="177" t="s">
        <v>141</v>
      </c>
      <c r="C75" s="142"/>
      <c r="D75" s="142"/>
      <c r="E75" s="143"/>
      <c r="F75" s="143"/>
      <c r="G75" s="143"/>
      <c r="H75" s="108"/>
      <c r="I75" s="108"/>
      <c r="J75" s="109"/>
      <c r="K75" s="108"/>
      <c r="L75" s="107"/>
    </row>
    <row r="76" spans="1:12" s="48" customFormat="1" ht="13.5" hidden="1" customHeight="1" x14ac:dyDescent="0.2">
      <c r="A76" s="134"/>
      <c r="B76" s="144" t="s">
        <v>115</v>
      </c>
      <c r="C76" s="142"/>
      <c r="D76" s="142"/>
      <c r="E76" s="143"/>
      <c r="F76" s="143">
        <v>0</v>
      </c>
      <c r="G76" s="143">
        <v>0</v>
      </c>
      <c r="H76" s="108">
        <f>G76/$G$196</f>
        <v>0</v>
      </c>
      <c r="I76" s="153" t="str">
        <f>IF(E76=0,"0,0%",G76/E76)</f>
        <v>0,0%</v>
      </c>
      <c r="J76" s="109">
        <f>G76-D76</f>
        <v>0</v>
      </c>
      <c r="K76" s="108" t="e">
        <f>G76/D76</f>
        <v>#DIV/0!</v>
      </c>
      <c r="L76" s="107">
        <f>G76-F76</f>
        <v>0</v>
      </c>
    </row>
    <row r="77" spans="1:12" s="27" customFormat="1" x14ac:dyDescent="0.2">
      <c r="A77" s="94" t="s">
        <v>24</v>
      </c>
      <c r="B77" s="95" t="s">
        <v>26</v>
      </c>
      <c r="C77" s="96">
        <f>C78+C82+C100</f>
        <v>289922.2</v>
      </c>
      <c r="D77" s="96">
        <f>D78+D82+D100</f>
        <v>287273.3</v>
      </c>
      <c r="E77" s="96">
        <f>E78+E82+E100</f>
        <v>50268.7</v>
      </c>
      <c r="F77" s="96">
        <f>F78+F82+F100</f>
        <v>57796.3</v>
      </c>
      <c r="G77" s="96">
        <f>G78+G82+G100</f>
        <v>50268.7</v>
      </c>
      <c r="H77" s="97">
        <f>G77/$G$196</f>
        <v>0.51200000000000001</v>
      </c>
      <c r="I77" s="153">
        <f>IF(E77=0,"0,0%",G77/E77)</f>
        <v>1</v>
      </c>
      <c r="J77" s="98">
        <f t="shared" si="54"/>
        <v>-237004.6</v>
      </c>
      <c r="K77" s="97">
        <f t="shared" si="55"/>
        <v>0.17499999999999999</v>
      </c>
      <c r="L77" s="99">
        <f t="shared" si="56"/>
        <v>-7527.6</v>
      </c>
    </row>
    <row r="78" spans="1:12" x14ac:dyDescent="0.2">
      <c r="A78" s="3" t="s">
        <v>48</v>
      </c>
      <c r="B78" s="9" t="s">
        <v>96</v>
      </c>
      <c r="C78" s="128">
        <v>25000</v>
      </c>
      <c r="D78" s="7">
        <v>25000</v>
      </c>
      <c r="E78" s="7">
        <f>E80</f>
        <v>7086.6</v>
      </c>
      <c r="F78" s="7">
        <f>F80</f>
        <v>4774.3</v>
      </c>
      <c r="G78" s="7">
        <f>G80</f>
        <v>7086.6</v>
      </c>
      <c r="H78" s="108">
        <f>G78/$G$196</f>
        <v>7.1999999999999995E-2</v>
      </c>
      <c r="I78" s="153">
        <f>IF(E78=0,"0,0%",G78/E78)</f>
        <v>1</v>
      </c>
      <c r="J78" s="109">
        <f t="shared" si="54"/>
        <v>-17913.400000000001</v>
      </c>
      <c r="K78" s="108">
        <f t="shared" si="55"/>
        <v>0.28299999999999997</v>
      </c>
      <c r="L78" s="107">
        <f t="shared" si="56"/>
        <v>2312.3000000000002</v>
      </c>
    </row>
    <row r="79" spans="1:12" x14ac:dyDescent="0.2">
      <c r="A79" s="3"/>
      <c r="B79" s="8" t="s">
        <v>27</v>
      </c>
      <c r="C79" s="128"/>
      <c r="D79" s="7"/>
      <c r="E79" s="7"/>
      <c r="F79" s="21"/>
      <c r="G79" s="21"/>
      <c r="H79" s="108"/>
      <c r="I79" s="108"/>
      <c r="J79" s="109"/>
      <c r="K79" s="108"/>
      <c r="L79" s="107"/>
    </row>
    <row r="80" spans="1:12" ht="54" x14ac:dyDescent="0.2">
      <c r="A80" s="3"/>
      <c r="B80" s="9" t="s">
        <v>119</v>
      </c>
      <c r="C80" s="128">
        <v>25000</v>
      </c>
      <c r="D80" s="7">
        <v>25000</v>
      </c>
      <c r="E80" s="7">
        <v>7086.6</v>
      </c>
      <c r="F80" s="7">
        <v>4774.3</v>
      </c>
      <c r="G80" s="7">
        <v>7086.6</v>
      </c>
      <c r="H80" s="108">
        <f>G80/$G$196</f>
        <v>7.1999999999999995E-2</v>
      </c>
      <c r="I80" s="153">
        <f>IF(E80=0,"0,0%",G80/E80)</f>
        <v>1</v>
      </c>
      <c r="J80" s="109">
        <f t="shared" si="54"/>
        <v>-17913.400000000001</v>
      </c>
      <c r="K80" s="108">
        <f t="shared" si="55"/>
        <v>0.28299999999999997</v>
      </c>
      <c r="L80" s="107">
        <f t="shared" si="56"/>
        <v>2312.3000000000002</v>
      </c>
    </row>
    <row r="81" spans="1:12" s="48" customFormat="1" ht="13.5" hidden="1" customHeight="1" x14ac:dyDescent="0.2">
      <c r="A81" s="16"/>
      <c r="B81" s="39" t="s">
        <v>154</v>
      </c>
      <c r="C81" s="170"/>
      <c r="D81" s="40"/>
      <c r="E81" s="40"/>
      <c r="F81" s="40"/>
      <c r="G81" s="40"/>
      <c r="H81" s="117">
        <f>G81/$G$196</f>
        <v>0</v>
      </c>
      <c r="I81" s="153" t="str">
        <f>IF(E81=0,"0,0%",G81/E81)</f>
        <v>0,0%</v>
      </c>
      <c r="J81" s="118">
        <f>G81-D81</f>
        <v>0</v>
      </c>
      <c r="K81" s="117" t="e">
        <f>G81/D81</f>
        <v>#DIV/0!</v>
      </c>
      <c r="L81" s="123">
        <f>G81-F81</f>
        <v>0</v>
      </c>
    </row>
    <row r="82" spans="1:12" s="1" customFormat="1" x14ac:dyDescent="0.2">
      <c r="A82" s="3" t="s">
        <v>97</v>
      </c>
      <c r="B82" s="9" t="s">
        <v>98</v>
      </c>
      <c r="C82" s="128">
        <f>C84+C99</f>
        <v>262519.59999999998</v>
      </c>
      <c r="D82" s="7">
        <f>D84+D99</f>
        <v>259870.7</v>
      </c>
      <c r="E82" s="7">
        <f t="shared" ref="E82:G82" si="64">E84+E99</f>
        <v>42714.6</v>
      </c>
      <c r="F82" s="7">
        <f t="shared" si="64"/>
        <v>52584</v>
      </c>
      <c r="G82" s="7">
        <f t="shared" si="64"/>
        <v>42714.6</v>
      </c>
      <c r="H82" s="108">
        <f>G82/$G$196</f>
        <v>0.435</v>
      </c>
      <c r="I82" s="153">
        <f>IF(E82=0,"0,0%",G82/E82)</f>
        <v>1</v>
      </c>
      <c r="J82" s="109">
        <f t="shared" si="54"/>
        <v>-217156.1</v>
      </c>
      <c r="K82" s="108">
        <f t="shared" si="55"/>
        <v>0.16400000000000001</v>
      </c>
      <c r="L82" s="107">
        <f t="shared" si="56"/>
        <v>-9869.4</v>
      </c>
    </row>
    <row r="83" spans="1:12" s="1" customFormat="1" x14ac:dyDescent="0.2">
      <c r="A83" s="3"/>
      <c r="B83" s="8" t="s">
        <v>231</v>
      </c>
      <c r="C83" s="128"/>
      <c r="D83" s="7"/>
      <c r="E83" s="7"/>
      <c r="F83" s="43"/>
      <c r="G83" s="43"/>
      <c r="H83" s="108"/>
      <c r="I83" s="108"/>
      <c r="J83" s="109"/>
      <c r="K83" s="108"/>
      <c r="L83" s="107"/>
    </row>
    <row r="84" spans="1:12" s="1" customFormat="1" ht="27" x14ac:dyDescent="0.2">
      <c r="A84" s="3"/>
      <c r="B84" s="9" t="s">
        <v>210</v>
      </c>
      <c r="C84" s="136">
        <f>C91+C98+5830.4</f>
        <v>210281.4</v>
      </c>
      <c r="D84" s="7">
        <f>D91+D98+5830.4</f>
        <v>207607.3</v>
      </c>
      <c r="E84" s="7">
        <f>E91+E98+517</f>
        <v>40829.699999999997</v>
      </c>
      <c r="F84" s="7">
        <v>52584</v>
      </c>
      <c r="G84" s="7">
        <f>G91+G98+517</f>
        <v>40829.699999999997</v>
      </c>
      <c r="H84" s="108">
        <f>G84/$G$196</f>
        <v>0.41599999999999998</v>
      </c>
      <c r="I84" s="153">
        <f t="shared" ref="I84:I100" si="65">IF(E84=0,"0,0%",G84/E84)</f>
        <v>1</v>
      </c>
      <c r="J84" s="109">
        <f t="shared" si="54"/>
        <v>-166777.60000000001</v>
      </c>
      <c r="K84" s="108">
        <f t="shared" si="55"/>
        <v>0.19700000000000001</v>
      </c>
      <c r="L84" s="107">
        <f t="shared" si="56"/>
        <v>-11754.3</v>
      </c>
    </row>
    <row r="85" spans="1:12" s="1" customFormat="1" ht="67.5" hidden="1" customHeight="1" x14ac:dyDescent="0.2">
      <c r="A85" s="3"/>
      <c r="B85" s="9" t="s">
        <v>134</v>
      </c>
      <c r="C85" s="128"/>
      <c r="D85" s="7"/>
      <c r="E85" s="7"/>
      <c r="F85" s="7">
        <v>0</v>
      </c>
      <c r="G85" s="7">
        <v>0</v>
      </c>
      <c r="H85" s="108">
        <f>G85/$G$196</f>
        <v>0</v>
      </c>
      <c r="I85" s="153" t="str">
        <f t="shared" si="65"/>
        <v>0,0%</v>
      </c>
      <c r="J85" s="109">
        <f t="shared" si="54"/>
        <v>0</v>
      </c>
      <c r="K85" s="108" t="e">
        <f t="shared" si="55"/>
        <v>#DIV/0!</v>
      </c>
      <c r="L85" s="107">
        <f t="shared" si="56"/>
        <v>0</v>
      </c>
    </row>
    <row r="86" spans="1:12" s="1" customFormat="1" ht="54" hidden="1" customHeight="1" x14ac:dyDescent="0.2">
      <c r="A86" s="3"/>
      <c r="B86" s="9" t="s">
        <v>135</v>
      </c>
      <c r="C86" s="128"/>
      <c r="D86" s="7"/>
      <c r="E86" s="7"/>
      <c r="F86" s="7">
        <v>0</v>
      </c>
      <c r="G86" s="7">
        <v>0</v>
      </c>
      <c r="H86" s="108">
        <f>G86/$G$196</f>
        <v>0</v>
      </c>
      <c r="I86" s="153" t="str">
        <f t="shared" si="65"/>
        <v>0,0%</v>
      </c>
      <c r="J86" s="109">
        <f t="shared" si="54"/>
        <v>0</v>
      </c>
      <c r="K86" s="108" t="e">
        <f t="shared" si="55"/>
        <v>#DIV/0!</v>
      </c>
      <c r="L86" s="107">
        <f t="shared" si="56"/>
        <v>0</v>
      </c>
    </row>
    <row r="87" spans="1:12" s="1" customFormat="1" ht="40.5" hidden="1" customHeight="1" x14ac:dyDescent="0.2">
      <c r="A87" s="3"/>
      <c r="B87" s="9" t="s">
        <v>100</v>
      </c>
      <c r="C87" s="128"/>
      <c r="D87" s="7"/>
      <c r="E87" s="7"/>
      <c r="F87" s="7">
        <v>0</v>
      </c>
      <c r="G87" s="7">
        <v>0</v>
      </c>
      <c r="H87" s="108">
        <f>G87/$G$196</f>
        <v>0</v>
      </c>
      <c r="I87" s="153" t="str">
        <f t="shared" si="65"/>
        <v>0,0%</v>
      </c>
      <c r="J87" s="109">
        <f t="shared" si="54"/>
        <v>0</v>
      </c>
      <c r="K87" s="108" t="e">
        <f t="shared" si="55"/>
        <v>#DIV/0!</v>
      </c>
      <c r="L87" s="107">
        <f t="shared" si="56"/>
        <v>0</v>
      </c>
    </row>
    <row r="88" spans="1:12" s="48" customFormat="1" ht="13.5" hidden="1" customHeight="1" x14ac:dyDescent="0.2">
      <c r="A88" s="16"/>
      <c r="B88" s="39" t="s">
        <v>154</v>
      </c>
      <c r="C88" s="170"/>
      <c r="D88" s="40"/>
      <c r="E88" s="40"/>
      <c r="F88" s="40">
        <v>0</v>
      </c>
      <c r="G88" s="40">
        <v>0</v>
      </c>
      <c r="H88" s="108">
        <f>G88/$G$196</f>
        <v>0</v>
      </c>
      <c r="I88" s="153" t="str">
        <f t="shared" si="65"/>
        <v>0,0%</v>
      </c>
      <c r="J88" s="109">
        <f t="shared" si="54"/>
        <v>0</v>
      </c>
      <c r="K88" s="108" t="e">
        <f t="shared" si="55"/>
        <v>#DIV/0!</v>
      </c>
      <c r="L88" s="107">
        <f t="shared" si="56"/>
        <v>0</v>
      </c>
    </row>
    <row r="89" spans="1:12" s="48" customFormat="1" ht="13.5" customHeight="1" x14ac:dyDescent="0.2">
      <c r="A89" s="16"/>
      <c r="B89" s="219" t="s">
        <v>231</v>
      </c>
      <c r="C89" s="170"/>
      <c r="D89" s="40"/>
      <c r="E89" s="40"/>
      <c r="F89" s="40"/>
      <c r="G89" s="40"/>
      <c r="H89" s="108"/>
      <c r="I89" s="153"/>
      <c r="J89" s="109"/>
      <c r="K89" s="108"/>
      <c r="L89" s="107"/>
    </row>
    <row r="90" spans="1:12" s="48" customFormat="1" ht="71.25" customHeight="1" x14ac:dyDescent="0.2">
      <c r="A90" s="16"/>
      <c r="B90" s="221" t="s">
        <v>244</v>
      </c>
      <c r="C90" s="170">
        <f>C91+C98</f>
        <v>204451</v>
      </c>
      <c r="D90" s="158">
        <f t="shared" ref="D90:G90" si="66">D91+D98</f>
        <v>201776.9</v>
      </c>
      <c r="E90" s="158">
        <f t="shared" si="66"/>
        <v>40312.699999999997</v>
      </c>
      <c r="F90" s="158">
        <f t="shared" si="66"/>
        <v>0</v>
      </c>
      <c r="G90" s="158">
        <f t="shared" si="66"/>
        <v>40312.699999999997</v>
      </c>
      <c r="H90" s="108">
        <f>G90/$G$196</f>
        <v>0.41099999999999998</v>
      </c>
      <c r="I90" s="153">
        <f t="shared" si="65"/>
        <v>1</v>
      </c>
      <c r="J90" s="109">
        <f t="shared" si="54"/>
        <v>-161464.20000000001</v>
      </c>
      <c r="K90" s="108">
        <f t="shared" si="55"/>
        <v>0.2</v>
      </c>
      <c r="L90" s="107">
        <f t="shared" si="56"/>
        <v>40312.699999999997</v>
      </c>
    </row>
    <row r="91" spans="1:12" s="48" customFormat="1" ht="42" customHeight="1" x14ac:dyDescent="0.2">
      <c r="A91" s="17">
        <v>611</v>
      </c>
      <c r="B91" s="9" t="s">
        <v>104</v>
      </c>
      <c r="C91" s="170">
        <f>SUM(C93:C97)</f>
        <v>199451</v>
      </c>
      <c r="D91" s="40">
        <f>SUM(D93:D97)</f>
        <v>190374.5</v>
      </c>
      <c r="E91" s="40">
        <f>SUM(E93:E97)</f>
        <v>29057.7</v>
      </c>
      <c r="F91" s="40">
        <f>SUM(F93:F97)</f>
        <v>0</v>
      </c>
      <c r="G91" s="40">
        <f>SUM(G93:G97)</f>
        <v>29057.7</v>
      </c>
      <c r="H91" s="108">
        <f>G91/$G$196</f>
        <v>0.29599999999999999</v>
      </c>
      <c r="I91" s="153">
        <f t="shared" si="65"/>
        <v>1</v>
      </c>
      <c r="J91" s="109">
        <f t="shared" si="54"/>
        <v>-161316.79999999999</v>
      </c>
      <c r="K91" s="108">
        <f t="shared" si="55"/>
        <v>0.153</v>
      </c>
      <c r="L91" s="107">
        <f t="shared" si="56"/>
        <v>29057.7</v>
      </c>
    </row>
    <row r="92" spans="1:12" s="48" customFormat="1" ht="13.5" customHeight="1" x14ac:dyDescent="0.2">
      <c r="A92" s="134"/>
      <c r="B92" s="135" t="s">
        <v>27</v>
      </c>
      <c r="C92" s="170"/>
      <c r="D92" s="40"/>
      <c r="E92" s="40"/>
      <c r="F92" s="40"/>
      <c r="G92" s="40"/>
      <c r="H92" s="108"/>
      <c r="I92" s="153"/>
      <c r="J92" s="109"/>
      <c r="K92" s="108"/>
      <c r="L92" s="107"/>
    </row>
    <row r="93" spans="1:12" s="48" customFormat="1" ht="13.5" customHeight="1" x14ac:dyDescent="0.2">
      <c r="A93" s="126"/>
      <c r="B93" s="127" t="s">
        <v>106</v>
      </c>
      <c r="C93" s="170">
        <v>90423.5</v>
      </c>
      <c r="D93" s="40">
        <v>83961.3</v>
      </c>
      <c r="E93" s="40">
        <v>25810.9</v>
      </c>
      <c r="F93" s="40">
        <v>0</v>
      </c>
      <c r="G93" s="40">
        <v>25810.9</v>
      </c>
      <c r="H93" s="108">
        <f t="shared" ref="H93:H100" si="67">G93/$G$196</f>
        <v>0.26300000000000001</v>
      </c>
      <c r="I93" s="153">
        <f t="shared" si="65"/>
        <v>1</v>
      </c>
      <c r="J93" s="109">
        <f t="shared" si="54"/>
        <v>-58150.400000000001</v>
      </c>
      <c r="K93" s="108">
        <f t="shared" si="55"/>
        <v>0.307</v>
      </c>
      <c r="L93" s="107">
        <f t="shared" si="56"/>
        <v>25810.9</v>
      </c>
    </row>
    <row r="94" spans="1:12" s="48" customFormat="1" ht="13.5" customHeight="1" x14ac:dyDescent="0.2">
      <c r="A94" s="126"/>
      <c r="B94" s="127" t="s">
        <v>196</v>
      </c>
      <c r="C94" s="170">
        <v>92.8</v>
      </c>
      <c r="D94" s="40">
        <v>92.8</v>
      </c>
      <c r="E94" s="40">
        <v>0</v>
      </c>
      <c r="F94" s="40">
        <v>0</v>
      </c>
      <c r="G94" s="40">
        <v>0</v>
      </c>
      <c r="H94" s="108">
        <f t="shared" si="67"/>
        <v>0</v>
      </c>
      <c r="I94" s="153" t="str">
        <f t="shared" si="65"/>
        <v>0,0%</v>
      </c>
      <c r="J94" s="109">
        <f t="shared" si="54"/>
        <v>-92.8</v>
      </c>
      <c r="K94" s="108">
        <f t="shared" si="55"/>
        <v>0</v>
      </c>
      <c r="L94" s="107">
        <f t="shared" si="56"/>
        <v>0</v>
      </c>
    </row>
    <row r="95" spans="1:12" s="48" customFormat="1" ht="13.5" customHeight="1" x14ac:dyDescent="0.2">
      <c r="A95" s="126"/>
      <c r="B95" s="127" t="s">
        <v>109</v>
      </c>
      <c r="C95" s="170">
        <v>4287.7</v>
      </c>
      <c r="D95" s="40">
        <v>1672.2</v>
      </c>
      <c r="E95" s="40">
        <v>236</v>
      </c>
      <c r="F95" s="40">
        <v>0</v>
      </c>
      <c r="G95" s="40">
        <v>236</v>
      </c>
      <c r="H95" s="108">
        <f t="shared" si="67"/>
        <v>2E-3</v>
      </c>
      <c r="I95" s="153">
        <f t="shared" si="65"/>
        <v>1</v>
      </c>
      <c r="J95" s="109">
        <f t="shared" si="54"/>
        <v>-1436.2</v>
      </c>
      <c r="K95" s="108">
        <f t="shared" si="55"/>
        <v>0.14099999999999999</v>
      </c>
      <c r="L95" s="107">
        <f t="shared" si="56"/>
        <v>236</v>
      </c>
    </row>
    <row r="96" spans="1:12" s="48" customFormat="1" ht="13.5" customHeight="1" x14ac:dyDescent="0.2">
      <c r="A96" s="126"/>
      <c r="B96" s="127" t="s">
        <v>194</v>
      </c>
      <c r="C96" s="170">
        <v>542.20000000000005</v>
      </c>
      <c r="D96" s="40">
        <v>542.20000000000005</v>
      </c>
      <c r="E96" s="40">
        <v>0</v>
      </c>
      <c r="F96" s="40">
        <v>0</v>
      </c>
      <c r="G96" s="40">
        <v>0</v>
      </c>
      <c r="H96" s="108">
        <f t="shared" si="67"/>
        <v>0</v>
      </c>
      <c r="I96" s="153" t="str">
        <f t="shared" si="65"/>
        <v>0,0%</v>
      </c>
      <c r="J96" s="109">
        <f t="shared" si="54"/>
        <v>-542.20000000000005</v>
      </c>
      <c r="K96" s="108">
        <f t="shared" si="55"/>
        <v>0</v>
      </c>
      <c r="L96" s="107">
        <f t="shared" si="56"/>
        <v>0</v>
      </c>
    </row>
    <row r="97" spans="1:12" s="48" customFormat="1" ht="13.5" customHeight="1" x14ac:dyDescent="0.2">
      <c r="A97" s="126"/>
      <c r="B97" s="127" t="s">
        <v>195</v>
      </c>
      <c r="C97" s="170">
        <v>104104.8</v>
      </c>
      <c r="D97" s="40">
        <v>104106</v>
      </c>
      <c r="E97" s="40">
        <v>3010.8</v>
      </c>
      <c r="F97" s="40">
        <v>0</v>
      </c>
      <c r="G97" s="40">
        <v>3010.8</v>
      </c>
      <c r="H97" s="108">
        <f t="shared" si="67"/>
        <v>3.1E-2</v>
      </c>
      <c r="I97" s="153">
        <f t="shared" si="65"/>
        <v>1</v>
      </c>
      <c r="J97" s="109">
        <f t="shared" si="54"/>
        <v>-101095.2</v>
      </c>
      <c r="K97" s="108">
        <f t="shared" si="55"/>
        <v>2.9000000000000001E-2</v>
      </c>
      <c r="L97" s="107">
        <f t="shared" si="56"/>
        <v>3010.8</v>
      </c>
    </row>
    <row r="98" spans="1:12" s="48" customFormat="1" ht="13.5" customHeight="1" x14ac:dyDescent="0.2">
      <c r="A98" s="17">
        <v>612</v>
      </c>
      <c r="B98" s="9" t="s">
        <v>105</v>
      </c>
      <c r="C98" s="170">
        <v>5000</v>
      </c>
      <c r="D98" s="40">
        <v>11402.4</v>
      </c>
      <c r="E98" s="40">
        <v>11255</v>
      </c>
      <c r="F98" s="40">
        <v>0</v>
      </c>
      <c r="G98" s="40">
        <v>11255</v>
      </c>
      <c r="H98" s="108">
        <f t="shared" si="67"/>
        <v>0.115</v>
      </c>
      <c r="I98" s="153">
        <f t="shared" si="65"/>
        <v>1</v>
      </c>
      <c r="J98" s="109">
        <f t="shared" si="54"/>
        <v>-147.4</v>
      </c>
      <c r="K98" s="108">
        <f t="shared" si="55"/>
        <v>0.98699999999999999</v>
      </c>
      <c r="L98" s="107">
        <f t="shared" si="56"/>
        <v>11255</v>
      </c>
    </row>
    <row r="99" spans="1:12" s="1" customFormat="1" ht="49.5" customHeight="1" x14ac:dyDescent="0.2">
      <c r="A99" s="191" t="s">
        <v>230</v>
      </c>
      <c r="B99" s="9" t="s">
        <v>99</v>
      </c>
      <c r="C99" s="128">
        <v>52238.2</v>
      </c>
      <c r="D99" s="7">
        <v>52263.4</v>
      </c>
      <c r="E99" s="7">
        <v>1884.9</v>
      </c>
      <c r="F99" s="7">
        <v>0</v>
      </c>
      <c r="G99" s="7">
        <v>1884.9</v>
      </c>
      <c r="H99" s="108">
        <f t="shared" si="67"/>
        <v>1.9E-2</v>
      </c>
      <c r="I99" s="153">
        <f>IF(E99=0,"0,0%",G99/E99)</f>
        <v>1</v>
      </c>
      <c r="J99" s="109">
        <f>G99-D99</f>
        <v>-50378.5</v>
      </c>
      <c r="K99" s="108">
        <f>G99/D99</f>
        <v>3.5999999999999997E-2</v>
      </c>
      <c r="L99" s="107">
        <f>G99-F99</f>
        <v>1884.9</v>
      </c>
    </row>
    <row r="100" spans="1:12" s="1" customFormat="1" x14ac:dyDescent="0.2">
      <c r="A100" s="3" t="s">
        <v>165</v>
      </c>
      <c r="B100" s="9" t="s">
        <v>147</v>
      </c>
      <c r="C100" s="128">
        <v>2402.6</v>
      </c>
      <c r="D100" s="7">
        <f>D102+D103</f>
        <v>2402.6</v>
      </c>
      <c r="E100" s="7">
        <f>E102+E103</f>
        <v>467.5</v>
      </c>
      <c r="F100" s="7">
        <f>F102+F103</f>
        <v>438</v>
      </c>
      <c r="G100" s="7">
        <f>G102+G103</f>
        <v>467.5</v>
      </c>
      <c r="H100" s="108">
        <f t="shared" si="67"/>
        <v>5.0000000000000001E-3</v>
      </c>
      <c r="I100" s="153">
        <f t="shared" si="65"/>
        <v>1</v>
      </c>
      <c r="J100" s="109">
        <f t="shared" si="54"/>
        <v>-1935.1</v>
      </c>
      <c r="K100" s="108">
        <f t="shared" si="55"/>
        <v>0.19500000000000001</v>
      </c>
      <c r="L100" s="107">
        <f>G100-F100</f>
        <v>29.5</v>
      </c>
    </row>
    <row r="101" spans="1:12" s="1" customFormat="1" x14ac:dyDescent="0.2">
      <c r="A101" s="3"/>
      <c r="B101" s="8" t="s">
        <v>27</v>
      </c>
      <c r="C101" s="128"/>
      <c r="D101" s="7"/>
      <c r="E101" s="7"/>
      <c r="F101" s="7"/>
      <c r="G101" s="7"/>
      <c r="H101" s="108"/>
      <c r="I101" s="108"/>
      <c r="J101" s="109"/>
      <c r="K101" s="108"/>
      <c r="L101" s="107"/>
    </row>
    <row r="102" spans="1:12" s="48" customFormat="1" ht="54" x14ac:dyDescent="0.2">
      <c r="A102" s="16"/>
      <c r="B102" s="39" t="s">
        <v>167</v>
      </c>
      <c r="C102" s="170">
        <v>2402.6</v>
      </c>
      <c r="D102" s="40">
        <v>2402.6</v>
      </c>
      <c r="E102" s="40">
        <v>467.5</v>
      </c>
      <c r="F102" s="40">
        <v>438</v>
      </c>
      <c r="G102" s="40">
        <v>467.5</v>
      </c>
      <c r="H102" s="117">
        <f>G102/$G$196</f>
        <v>5.0000000000000001E-3</v>
      </c>
      <c r="I102" s="153">
        <f>IF(E102=0,"0,0%",G102/E102)</f>
        <v>1</v>
      </c>
      <c r="J102" s="118">
        <f>G102-D102</f>
        <v>-1935.1</v>
      </c>
      <c r="K102" s="117">
        <f>G102/D102</f>
        <v>0.19500000000000001</v>
      </c>
      <c r="L102" s="123">
        <f>G102-F102</f>
        <v>29.5</v>
      </c>
    </row>
    <row r="103" spans="1:12" s="48" customFormat="1" ht="54" hidden="1" customHeight="1" x14ac:dyDescent="0.2">
      <c r="A103" s="16"/>
      <c r="B103" s="39" t="s">
        <v>166</v>
      </c>
      <c r="C103" s="170">
        <v>0</v>
      </c>
      <c r="D103" s="40">
        <v>0</v>
      </c>
      <c r="E103" s="40">
        <v>0</v>
      </c>
      <c r="F103" s="40">
        <v>0</v>
      </c>
      <c r="G103" s="40">
        <v>0</v>
      </c>
      <c r="H103" s="117">
        <f>G103/$G$196</f>
        <v>0</v>
      </c>
      <c r="I103" s="153" t="str">
        <f>IF(E103=0,"0,0%",G103/E103)</f>
        <v>0,0%</v>
      </c>
      <c r="J103" s="118">
        <f>G103-D103</f>
        <v>0</v>
      </c>
      <c r="K103" s="117" t="e">
        <f>G103/D103</f>
        <v>#DIV/0!</v>
      </c>
      <c r="L103" s="123">
        <f>G103-F103</f>
        <v>0</v>
      </c>
    </row>
    <row r="104" spans="1:12" s="1" customFormat="1" x14ac:dyDescent="0.2">
      <c r="A104" s="145"/>
      <c r="B104" s="177" t="s">
        <v>142</v>
      </c>
      <c r="C104" s="136"/>
      <c r="D104" s="136"/>
      <c r="E104" s="136"/>
      <c r="F104" s="136"/>
      <c r="G104" s="136"/>
      <c r="H104" s="108"/>
      <c r="I104" s="108"/>
      <c r="J104" s="109"/>
      <c r="K104" s="108"/>
      <c r="L104" s="107"/>
    </row>
    <row r="105" spans="1:12" s="1" customFormat="1" x14ac:dyDescent="0.2">
      <c r="A105" s="145"/>
      <c r="B105" s="144" t="s">
        <v>168</v>
      </c>
      <c r="C105" s="136">
        <v>58068.6</v>
      </c>
      <c r="D105" s="128">
        <v>58068.6</v>
      </c>
      <c r="E105" s="128">
        <v>2377.1</v>
      </c>
      <c r="F105" s="128">
        <v>52584.1</v>
      </c>
      <c r="G105" s="128">
        <v>2377.1</v>
      </c>
      <c r="H105" s="108">
        <f>G105/$G$196</f>
        <v>2.4E-2</v>
      </c>
      <c r="I105" s="153">
        <f>IF(E105=0,"0,0%",G105/E105)</f>
        <v>1</v>
      </c>
      <c r="J105" s="109">
        <f t="shared" si="54"/>
        <v>-55691.5</v>
      </c>
      <c r="K105" s="108">
        <f t="shared" si="55"/>
        <v>4.1000000000000002E-2</v>
      </c>
      <c r="L105" s="107">
        <f t="shared" si="56"/>
        <v>-50207</v>
      </c>
    </row>
    <row r="106" spans="1:12" s="27" customFormat="1" x14ac:dyDescent="0.2">
      <c r="A106" s="94" t="s">
        <v>22</v>
      </c>
      <c r="B106" s="101" t="s">
        <v>8</v>
      </c>
      <c r="C106" s="99">
        <f>C107+C125+C141+C122</f>
        <v>148882.29999999999</v>
      </c>
      <c r="D106" s="99">
        <f>D107+D125+D141+D122</f>
        <v>152955.20000000001</v>
      </c>
      <c r="E106" s="99">
        <f>E107+E125+E141+E122</f>
        <v>19310.599999999999</v>
      </c>
      <c r="F106" s="99">
        <f>F107+F125+F141+F122</f>
        <v>23764</v>
      </c>
      <c r="G106" s="99">
        <f>G107+G125+G141+G122</f>
        <v>19310.599999999999</v>
      </c>
      <c r="H106" s="97">
        <f>G106/$G$196</f>
        <v>0.19700000000000001</v>
      </c>
      <c r="I106" s="153">
        <f>IF(E106=0,"0,0%",G106/E106)</f>
        <v>1</v>
      </c>
      <c r="J106" s="98">
        <f t="shared" si="54"/>
        <v>-133644.6</v>
      </c>
      <c r="K106" s="97">
        <f>G106/D106</f>
        <v>0.126</v>
      </c>
      <c r="L106" s="99">
        <f t="shared" si="56"/>
        <v>-4453.3999999999996</v>
      </c>
    </row>
    <row r="107" spans="1:12" x14ac:dyDescent="0.2">
      <c r="A107" s="16" t="s">
        <v>57</v>
      </c>
      <c r="B107" s="38" t="s">
        <v>73</v>
      </c>
      <c r="C107" s="170">
        <f>C109+C110+C111+C112+C119+C121</f>
        <v>30281.9</v>
      </c>
      <c r="D107" s="158">
        <f>D109+D110+D111+D112+D119+D121+D120</f>
        <v>34345.599999999999</v>
      </c>
      <c r="E107" s="158">
        <f>E109+E110+E111+E112+E119+E121</f>
        <v>843.5</v>
      </c>
      <c r="F107" s="158">
        <f t="shared" ref="F107" si="68">F109+F110+F111+F112+F119+F121</f>
        <v>4952.2</v>
      </c>
      <c r="G107" s="158">
        <f t="shared" ref="G107" si="69">G109+G110+G111+G112+G119+G121</f>
        <v>843.5</v>
      </c>
      <c r="H107" s="108">
        <f>G107/$G$196</f>
        <v>8.9999999999999993E-3</v>
      </c>
      <c r="I107" s="153">
        <f>IF(E107=0,"0,0%",G107/E107)</f>
        <v>1</v>
      </c>
      <c r="J107" s="109">
        <f t="shared" si="54"/>
        <v>-33502.1</v>
      </c>
      <c r="K107" s="108">
        <f t="shared" si="55"/>
        <v>2.5000000000000001E-2</v>
      </c>
      <c r="L107" s="107">
        <f t="shared" si="56"/>
        <v>-4108.7</v>
      </c>
    </row>
    <row r="108" spans="1:12" x14ac:dyDescent="0.2">
      <c r="A108" s="16"/>
      <c r="B108" s="38" t="s">
        <v>231</v>
      </c>
      <c r="C108" s="172"/>
      <c r="D108" s="5"/>
      <c r="E108" s="5"/>
      <c r="F108" s="5"/>
      <c r="G108" s="5"/>
      <c r="H108" s="108"/>
      <c r="I108" s="108"/>
      <c r="J108" s="109"/>
      <c r="K108" s="108"/>
      <c r="L108" s="107"/>
    </row>
    <row r="109" spans="1:12" ht="40.5" x14ac:dyDescent="0.2">
      <c r="A109" s="16"/>
      <c r="B109" s="39" t="s">
        <v>75</v>
      </c>
      <c r="C109" s="170">
        <v>835.5</v>
      </c>
      <c r="D109" s="158">
        <v>835.5</v>
      </c>
      <c r="E109" s="158">
        <v>0</v>
      </c>
      <c r="F109" s="158">
        <v>0</v>
      </c>
      <c r="G109" s="158">
        <v>0</v>
      </c>
      <c r="H109" s="108">
        <f>G109/$G$196</f>
        <v>0</v>
      </c>
      <c r="I109" s="153" t="str">
        <f t="shared" ref="I109:I122" si="70">IF(E109=0,"0,0%",G109/E109)</f>
        <v>0,0%</v>
      </c>
      <c r="J109" s="109">
        <f t="shared" si="54"/>
        <v>-835.5</v>
      </c>
      <c r="K109" s="108">
        <f t="shared" si="55"/>
        <v>0</v>
      </c>
      <c r="L109" s="107">
        <f t="shared" si="56"/>
        <v>0</v>
      </c>
    </row>
    <row r="110" spans="1:12" ht="27" x14ac:dyDescent="0.2">
      <c r="A110" s="16"/>
      <c r="B110" s="39" t="s">
        <v>169</v>
      </c>
      <c r="C110" s="170">
        <v>2966</v>
      </c>
      <c r="D110" s="158">
        <v>3024.6</v>
      </c>
      <c r="E110" s="158">
        <v>0</v>
      </c>
      <c r="F110" s="158">
        <v>0</v>
      </c>
      <c r="G110" s="158">
        <v>0</v>
      </c>
      <c r="H110" s="108">
        <f>G110/$G$196</f>
        <v>0</v>
      </c>
      <c r="I110" s="153" t="str">
        <f t="shared" si="70"/>
        <v>0,0%</v>
      </c>
      <c r="J110" s="109">
        <f t="shared" ref="J110" si="71">G110-D110</f>
        <v>-3024.6</v>
      </c>
      <c r="K110" s="108">
        <f t="shared" ref="K110" si="72">G110/D110</f>
        <v>0</v>
      </c>
      <c r="L110" s="107">
        <f t="shared" ref="L110" si="73">G110-F110</f>
        <v>0</v>
      </c>
    </row>
    <row r="111" spans="1:12" x14ac:dyDescent="0.2">
      <c r="A111" s="16" t="s">
        <v>238</v>
      </c>
      <c r="B111" s="39" t="s">
        <v>207</v>
      </c>
      <c r="C111" s="170">
        <v>23916.3</v>
      </c>
      <c r="D111" s="158">
        <v>24002.7</v>
      </c>
      <c r="E111" s="158">
        <v>678.2</v>
      </c>
      <c r="F111" s="158">
        <v>0</v>
      </c>
      <c r="G111" s="158">
        <v>678.2</v>
      </c>
      <c r="H111" s="108">
        <f>G111/$G$196</f>
        <v>7.0000000000000001E-3</v>
      </c>
      <c r="I111" s="153">
        <f t="shared" si="70"/>
        <v>1</v>
      </c>
      <c r="J111" s="109">
        <f t="shared" ref="J111" si="74">G111-D111</f>
        <v>-23324.5</v>
      </c>
      <c r="K111" s="108">
        <f t="shared" ref="K111" si="75">G111/D111</f>
        <v>2.8000000000000001E-2</v>
      </c>
      <c r="L111" s="107">
        <f t="shared" ref="L111" si="76">G111-F111</f>
        <v>678.2</v>
      </c>
    </row>
    <row r="112" spans="1:12" x14ac:dyDescent="0.2">
      <c r="A112" s="16"/>
      <c r="B112" s="39" t="s">
        <v>237</v>
      </c>
      <c r="C112" s="143">
        <f t="shared" ref="C112:F112" si="77">C114+C116</f>
        <v>0</v>
      </c>
      <c r="D112" s="158">
        <f t="shared" si="77"/>
        <v>2615.5</v>
      </c>
      <c r="E112" s="158">
        <f t="shared" si="77"/>
        <v>165.3</v>
      </c>
      <c r="F112" s="158">
        <f t="shared" si="77"/>
        <v>812.2</v>
      </c>
      <c r="G112" s="158">
        <f>G114+G116</f>
        <v>165.3</v>
      </c>
      <c r="H112" s="108">
        <f>G112/$G$196</f>
        <v>2E-3</v>
      </c>
      <c r="I112" s="153">
        <f t="shared" si="70"/>
        <v>1</v>
      </c>
      <c r="J112" s="109">
        <f t="shared" ref="J112:J120" si="78">G112-D112</f>
        <v>-2450.1999999999998</v>
      </c>
      <c r="K112" s="108">
        <f t="shared" ref="K112:K118" si="79">G112/D112</f>
        <v>6.3E-2</v>
      </c>
      <c r="L112" s="107">
        <f t="shared" ref="L112:L118" si="80">G112-F112</f>
        <v>-646.9</v>
      </c>
    </row>
    <row r="113" spans="1:12" x14ac:dyDescent="0.2">
      <c r="A113" s="16"/>
      <c r="B113" s="218" t="s">
        <v>231</v>
      </c>
      <c r="C113" s="143"/>
      <c r="D113" s="158"/>
      <c r="E113" s="158"/>
      <c r="F113" s="158"/>
      <c r="G113" s="158"/>
      <c r="H113" s="108"/>
      <c r="I113" s="153"/>
      <c r="J113" s="109"/>
      <c r="K113" s="108"/>
      <c r="L113" s="107"/>
    </row>
    <row r="114" spans="1:12" ht="27" x14ac:dyDescent="0.2">
      <c r="A114" s="16"/>
      <c r="B114" s="39" t="s">
        <v>241</v>
      </c>
      <c r="C114" s="170">
        <v>0</v>
      </c>
      <c r="D114" s="158">
        <v>0</v>
      </c>
      <c r="E114" s="158">
        <v>0</v>
      </c>
      <c r="F114" s="158">
        <v>812.2</v>
      </c>
      <c r="G114" s="158">
        <v>0</v>
      </c>
      <c r="H114" s="108">
        <f>G114/$G$196</f>
        <v>0</v>
      </c>
      <c r="I114" s="153" t="str">
        <f t="shared" si="70"/>
        <v>0,0%</v>
      </c>
      <c r="J114" s="109">
        <f t="shared" si="78"/>
        <v>0</v>
      </c>
      <c r="K114" s="108" t="str">
        <f>IF(G114=0,"0,0%", G114/D114)</f>
        <v>0,0%</v>
      </c>
      <c r="L114" s="107">
        <f t="shared" si="80"/>
        <v>-812.2</v>
      </c>
    </row>
    <row r="115" spans="1:12" ht="40.5" x14ac:dyDescent="0.2">
      <c r="A115" s="16"/>
      <c r="B115" s="39" t="s">
        <v>242</v>
      </c>
      <c r="C115" s="170">
        <f>C116</f>
        <v>0</v>
      </c>
      <c r="D115" s="158">
        <f t="shared" ref="D115:G115" si="81">D116</f>
        <v>2615.5</v>
      </c>
      <c r="E115" s="158">
        <f t="shared" si="81"/>
        <v>165.3</v>
      </c>
      <c r="F115" s="158">
        <f t="shared" si="81"/>
        <v>0</v>
      </c>
      <c r="G115" s="158">
        <f t="shared" si="81"/>
        <v>165.3</v>
      </c>
      <c r="H115" s="108">
        <f>G115/$G$196</f>
        <v>2E-3</v>
      </c>
      <c r="I115" s="153">
        <f t="shared" si="70"/>
        <v>1</v>
      </c>
      <c r="J115" s="109">
        <f t="shared" si="78"/>
        <v>-2450.1999999999998</v>
      </c>
      <c r="K115" s="108">
        <f>IF(G115=0,"0,0%", G115/D115)</f>
        <v>6.3E-2</v>
      </c>
      <c r="L115" s="107">
        <f t="shared" si="80"/>
        <v>165.3</v>
      </c>
    </row>
    <row r="116" spans="1:12" ht="40.5" x14ac:dyDescent="0.2">
      <c r="A116" s="16" t="s">
        <v>236</v>
      </c>
      <c r="B116" s="209" t="s">
        <v>104</v>
      </c>
      <c r="C116" s="170">
        <f>C118</f>
        <v>0</v>
      </c>
      <c r="D116" s="158">
        <f>D118</f>
        <v>2615.5</v>
      </c>
      <c r="E116" s="158">
        <f>E118</f>
        <v>165.3</v>
      </c>
      <c r="F116" s="158">
        <f>F118</f>
        <v>0</v>
      </c>
      <c r="G116" s="158">
        <f>G118</f>
        <v>165.3</v>
      </c>
      <c r="H116" s="108">
        <f>G116/$G$196</f>
        <v>2E-3</v>
      </c>
      <c r="I116" s="153">
        <f t="shared" si="70"/>
        <v>1</v>
      </c>
      <c r="J116" s="109">
        <f t="shared" si="78"/>
        <v>-2450.1999999999998</v>
      </c>
      <c r="K116" s="108">
        <f t="shared" si="79"/>
        <v>6.3E-2</v>
      </c>
      <c r="L116" s="107">
        <f t="shared" si="80"/>
        <v>165.3</v>
      </c>
    </row>
    <row r="117" spans="1:12" x14ac:dyDescent="0.2">
      <c r="A117" s="126"/>
      <c r="B117" s="220" t="s">
        <v>27</v>
      </c>
      <c r="C117" s="170"/>
      <c r="D117" s="158"/>
      <c r="E117" s="158"/>
      <c r="F117" s="158"/>
      <c r="G117" s="158"/>
      <c r="H117" s="108"/>
      <c r="I117" s="153"/>
      <c r="J117" s="109"/>
      <c r="K117" s="108"/>
      <c r="L117" s="107"/>
    </row>
    <row r="118" spans="1:12" x14ac:dyDescent="0.2">
      <c r="A118" s="126"/>
      <c r="B118" s="127" t="s">
        <v>109</v>
      </c>
      <c r="C118" s="170">
        <v>0</v>
      </c>
      <c r="D118" s="158">
        <v>2615.5</v>
      </c>
      <c r="E118" s="158">
        <f>165.3</f>
        <v>165.3</v>
      </c>
      <c r="F118" s="158">
        <v>0</v>
      </c>
      <c r="G118" s="158">
        <v>165.3</v>
      </c>
      <c r="H118" s="108">
        <f>G118/$G$196</f>
        <v>2E-3</v>
      </c>
      <c r="I118" s="153">
        <f t="shared" si="70"/>
        <v>1</v>
      </c>
      <c r="J118" s="109">
        <f t="shared" si="78"/>
        <v>-2450.1999999999998</v>
      </c>
      <c r="K118" s="108">
        <f t="shared" si="79"/>
        <v>6.3E-2</v>
      </c>
      <c r="L118" s="107">
        <f t="shared" si="80"/>
        <v>165.3</v>
      </c>
    </row>
    <row r="119" spans="1:12" ht="27" x14ac:dyDescent="0.2">
      <c r="A119" s="16"/>
      <c r="B119" s="39" t="s">
        <v>208</v>
      </c>
      <c r="C119" s="170">
        <v>0</v>
      </c>
      <c r="D119" s="158">
        <v>0</v>
      </c>
      <c r="E119" s="158">
        <v>0</v>
      </c>
      <c r="F119" s="158">
        <v>4140</v>
      </c>
      <c r="G119" s="158">
        <v>0</v>
      </c>
      <c r="H119" s="108">
        <f>G119/$G$196</f>
        <v>0</v>
      </c>
      <c r="I119" s="153" t="str">
        <f t="shared" si="70"/>
        <v>0,0%</v>
      </c>
      <c r="J119" s="109">
        <f t="shared" si="78"/>
        <v>0</v>
      </c>
      <c r="K119" s="108" t="str">
        <f>IF(G119=0,"0,0%", G119/D119)</f>
        <v>0,0%</v>
      </c>
      <c r="L119" s="107">
        <f t="shared" ref="L119:L120" si="82">G119-F119</f>
        <v>-4140</v>
      </c>
    </row>
    <row r="120" spans="1:12" ht="27" x14ac:dyDescent="0.2">
      <c r="A120" s="16" t="s">
        <v>234</v>
      </c>
      <c r="B120" s="39" t="s">
        <v>235</v>
      </c>
      <c r="C120" s="170">
        <v>0</v>
      </c>
      <c r="D120" s="158">
        <v>1303.2</v>
      </c>
      <c r="E120" s="158">
        <v>0</v>
      </c>
      <c r="F120" s="158">
        <v>0</v>
      </c>
      <c r="G120" s="158">
        <v>0</v>
      </c>
      <c r="H120" s="108">
        <f>G120/$G$196</f>
        <v>0</v>
      </c>
      <c r="I120" s="153" t="str">
        <f t="shared" si="70"/>
        <v>0,0%</v>
      </c>
      <c r="J120" s="109">
        <f t="shared" si="78"/>
        <v>-1303.2</v>
      </c>
      <c r="K120" s="108">
        <f t="shared" ref="K120" si="83">G120/D120</f>
        <v>0</v>
      </c>
      <c r="L120" s="107">
        <f t="shared" si="82"/>
        <v>0</v>
      </c>
    </row>
    <row r="121" spans="1:12" ht="27" x14ac:dyDescent="0.2">
      <c r="A121" s="16" t="s">
        <v>232</v>
      </c>
      <c r="B121" s="39" t="s">
        <v>233</v>
      </c>
      <c r="C121" s="170">
        <v>2564.1</v>
      </c>
      <c r="D121" s="158">
        <v>2564.1</v>
      </c>
      <c r="E121" s="158">
        <v>0</v>
      </c>
      <c r="F121" s="158">
        <v>0</v>
      </c>
      <c r="G121" s="158">
        <v>0</v>
      </c>
      <c r="H121" s="108">
        <f>G121/$G$196</f>
        <v>0</v>
      </c>
      <c r="I121" s="153" t="str">
        <f t="shared" si="70"/>
        <v>0,0%</v>
      </c>
      <c r="J121" s="109">
        <f t="shared" ref="J121:J122" si="84">G121-D121</f>
        <v>-2564.1</v>
      </c>
      <c r="K121" s="108">
        <f t="shared" ref="K121:K122" si="85">G121/D121</f>
        <v>0</v>
      </c>
      <c r="L121" s="107">
        <f t="shared" ref="L121:L122" si="86">G121-F121</f>
        <v>0</v>
      </c>
    </row>
    <row r="122" spans="1:12" x14ac:dyDescent="0.2">
      <c r="A122" s="16" t="s">
        <v>170</v>
      </c>
      <c r="B122" s="10" t="s">
        <v>171</v>
      </c>
      <c r="C122" s="129">
        <v>0</v>
      </c>
      <c r="D122" s="208">
        <v>9.1999999999999993</v>
      </c>
      <c r="E122" s="208">
        <v>0</v>
      </c>
      <c r="F122" s="208">
        <v>0</v>
      </c>
      <c r="G122" s="208">
        <v>0</v>
      </c>
      <c r="H122" s="108">
        <f>G122/$G$196</f>
        <v>0</v>
      </c>
      <c r="I122" s="153" t="str">
        <f t="shared" si="70"/>
        <v>0,0%</v>
      </c>
      <c r="J122" s="109">
        <f t="shared" si="84"/>
        <v>-9.1999999999999993</v>
      </c>
      <c r="K122" s="108">
        <f t="shared" si="85"/>
        <v>0</v>
      </c>
      <c r="L122" s="107">
        <f t="shared" si="86"/>
        <v>0</v>
      </c>
    </row>
    <row r="123" spans="1:12" ht="13.5" hidden="1" customHeight="1" x14ac:dyDescent="0.2">
      <c r="A123" s="16"/>
      <c r="B123" s="10" t="s">
        <v>27</v>
      </c>
      <c r="C123" s="173"/>
      <c r="D123" s="30"/>
      <c r="E123" s="7"/>
      <c r="F123" s="7"/>
      <c r="G123" s="7"/>
      <c r="H123" s="108"/>
      <c r="I123" s="108"/>
      <c r="J123" s="109"/>
      <c r="K123" s="108"/>
      <c r="L123" s="107"/>
    </row>
    <row r="124" spans="1:12" ht="13.5" hidden="1" customHeight="1" x14ac:dyDescent="0.2">
      <c r="A124" s="16"/>
      <c r="B124" s="9" t="s">
        <v>101</v>
      </c>
      <c r="C124" s="129"/>
      <c r="D124" s="30"/>
      <c r="E124" s="7"/>
      <c r="F124" s="7"/>
      <c r="G124" s="7"/>
      <c r="H124" s="108">
        <f>G124/$G$196</f>
        <v>0</v>
      </c>
      <c r="I124" s="153" t="str">
        <f>IF(E124=0,"0,0%",G124/E124)</f>
        <v>0,0%</v>
      </c>
      <c r="J124" s="109">
        <f t="shared" ref="J124" si="87">G124-D124</f>
        <v>0</v>
      </c>
      <c r="K124" s="108" t="e">
        <f t="shared" ref="K124" si="88">G124/D124</f>
        <v>#DIV/0!</v>
      </c>
      <c r="L124" s="107">
        <f t="shared" ref="L124" si="89">G124-F124</f>
        <v>0</v>
      </c>
    </row>
    <row r="125" spans="1:12" x14ac:dyDescent="0.2">
      <c r="A125" s="16" t="s">
        <v>43</v>
      </c>
      <c r="B125" s="10" t="s">
        <v>44</v>
      </c>
      <c r="C125" s="129">
        <f>C127+C128+C129+C130+C133+C140+C131</f>
        <v>117593.9</v>
      </c>
      <c r="D125" s="30">
        <f>D127+D128+D129+D130+D131+D132</f>
        <v>117593.9</v>
      </c>
      <c r="E125" s="30">
        <f>E127+E128+E129+E130+E131+E132</f>
        <v>18260.400000000001</v>
      </c>
      <c r="F125" s="30">
        <f t="shared" ref="F125:G125" si="90">F127+F128+F129+F130+F131+F132</f>
        <v>18616.8</v>
      </c>
      <c r="G125" s="30">
        <f t="shared" si="90"/>
        <v>18260.400000000001</v>
      </c>
      <c r="H125" s="108">
        <f>G125/$G$196</f>
        <v>0.186</v>
      </c>
      <c r="I125" s="153">
        <f>IF(E125=0,"0,0%",G125/E125)</f>
        <v>1</v>
      </c>
      <c r="J125" s="109">
        <f t="shared" si="54"/>
        <v>-99333.5</v>
      </c>
      <c r="K125" s="108">
        <f t="shared" si="55"/>
        <v>0.155</v>
      </c>
      <c r="L125" s="107">
        <f t="shared" si="56"/>
        <v>-356.4</v>
      </c>
    </row>
    <row r="126" spans="1:12" x14ac:dyDescent="0.2">
      <c r="A126" s="16"/>
      <c r="B126" s="10" t="s">
        <v>27</v>
      </c>
      <c r="C126" s="173"/>
      <c r="D126" s="208"/>
      <c r="E126" s="150"/>
      <c r="F126" s="150"/>
      <c r="G126" s="150"/>
      <c r="H126" s="108"/>
      <c r="I126" s="108"/>
      <c r="J126" s="109"/>
      <c r="K126" s="108"/>
      <c r="L126" s="107"/>
    </row>
    <row r="127" spans="1:12" x14ac:dyDescent="0.2">
      <c r="A127" s="16"/>
      <c r="B127" s="9" t="s">
        <v>101</v>
      </c>
      <c r="C127" s="129">
        <v>61342.6</v>
      </c>
      <c r="D127" s="208">
        <v>61342.6</v>
      </c>
      <c r="E127" s="150">
        <v>13661.8</v>
      </c>
      <c r="F127" s="150">
        <f>13374.4-0.1</f>
        <v>13374.3</v>
      </c>
      <c r="G127" s="150">
        <v>13661.8</v>
      </c>
      <c r="H127" s="108">
        <f t="shared" ref="H127:H132" si="91">G127/$G$196</f>
        <v>0.13900000000000001</v>
      </c>
      <c r="I127" s="153">
        <f t="shared" ref="I127:I142" si="92">IF(E127=0,"0,0%",G127/E127)</f>
        <v>1</v>
      </c>
      <c r="J127" s="109">
        <f t="shared" si="54"/>
        <v>-47680.800000000003</v>
      </c>
      <c r="K127" s="108">
        <f t="shared" ref="K127:K130" si="93">IF(G127=0,"0,0%",G127/D127)</f>
        <v>0.223</v>
      </c>
      <c r="L127" s="107">
        <f t="shared" si="56"/>
        <v>287.5</v>
      </c>
    </row>
    <row r="128" spans="1:12" x14ac:dyDescent="0.2">
      <c r="A128" s="16"/>
      <c r="B128" s="9" t="s">
        <v>102</v>
      </c>
      <c r="C128" s="129">
        <v>0</v>
      </c>
      <c r="D128" s="208">
        <v>0</v>
      </c>
      <c r="E128" s="150">
        <v>0</v>
      </c>
      <c r="F128" s="150">
        <v>3669.3</v>
      </c>
      <c r="G128" s="150">
        <v>0</v>
      </c>
      <c r="H128" s="108">
        <f t="shared" si="91"/>
        <v>0</v>
      </c>
      <c r="I128" s="153" t="str">
        <f t="shared" si="92"/>
        <v>0,0%</v>
      </c>
      <c r="J128" s="109">
        <f t="shared" si="54"/>
        <v>0</v>
      </c>
      <c r="K128" s="108" t="str">
        <f t="shared" si="93"/>
        <v>0,0%</v>
      </c>
      <c r="L128" s="107">
        <f t="shared" si="56"/>
        <v>-3669.3</v>
      </c>
    </row>
    <row r="129" spans="1:12" x14ac:dyDescent="0.2">
      <c r="A129" s="16"/>
      <c r="B129" s="9" t="s">
        <v>103</v>
      </c>
      <c r="C129" s="129">
        <v>12013.8</v>
      </c>
      <c r="D129" s="208">
        <f>5782.8+3751.5</f>
        <v>9534.2999999999993</v>
      </c>
      <c r="E129" s="150">
        <v>400</v>
      </c>
      <c r="F129" s="150">
        <v>700</v>
      </c>
      <c r="G129" s="150">
        <v>400</v>
      </c>
      <c r="H129" s="108">
        <f t="shared" si="91"/>
        <v>4.0000000000000001E-3</v>
      </c>
      <c r="I129" s="153">
        <f t="shared" si="92"/>
        <v>1</v>
      </c>
      <c r="J129" s="109">
        <f t="shared" si="54"/>
        <v>-9134.2999999999993</v>
      </c>
      <c r="K129" s="108">
        <f t="shared" si="93"/>
        <v>4.2000000000000003E-2</v>
      </c>
      <c r="L129" s="107">
        <f t="shared" si="56"/>
        <v>-300</v>
      </c>
    </row>
    <row r="130" spans="1:12" x14ac:dyDescent="0.2">
      <c r="A130" s="16"/>
      <c r="B130" s="9" t="s">
        <v>239</v>
      </c>
      <c r="C130" s="129">
        <v>0</v>
      </c>
      <c r="D130" s="208">
        <v>0</v>
      </c>
      <c r="E130" s="150">
        <v>0</v>
      </c>
      <c r="F130" s="150">
        <v>873.2</v>
      </c>
      <c r="G130" s="150">
        <v>0</v>
      </c>
      <c r="H130" s="108">
        <f t="shared" si="91"/>
        <v>0</v>
      </c>
      <c r="I130" s="153" t="str">
        <f t="shared" si="92"/>
        <v>0,0%</v>
      </c>
      <c r="J130" s="109">
        <f t="shared" si="54"/>
        <v>0</v>
      </c>
      <c r="K130" s="108" t="str">
        <f t="shared" si="93"/>
        <v>0,0%</v>
      </c>
      <c r="L130" s="107">
        <f t="shared" si="56"/>
        <v>-873.2</v>
      </c>
    </row>
    <row r="131" spans="1:12" ht="27" x14ac:dyDescent="0.2">
      <c r="A131" s="16"/>
      <c r="B131" s="9" t="s">
        <v>240</v>
      </c>
      <c r="C131" s="129">
        <v>0</v>
      </c>
      <c r="D131" s="208">
        <v>2479.5</v>
      </c>
      <c r="E131" s="150">
        <v>500</v>
      </c>
      <c r="F131" s="150">
        <v>0</v>
      </c>
      <c r="G131" s="150">
        <v>500</v>
      </c>
      <c r="H131" s="108">
        <f t="shared" si="91"/>
        <v>5.0000000000000001E-3</v>
      </c>
      <c r="I131" s="153">
        <f t="shared" si="92"/>
        <v>1</v>
      </c>
      <c r="J131" s="109">
        <f t="shared" si="54"/>
        <v>-1979.5</v>
      </c>
      <c r="K131" s="108">
        <f t="shared" si="55"/>
        <v>0.20200000000000001</v>
      </c>
      <c r="L131" s="107">
        <f t="shared" si="56"/>
        <v>500</v>
      </c>
    </row>
    <row r="132" spans="1:12" ht="40.5" x14ac:dyDescent="0.2">
      <c r="A132" s="16"/>
      <c r="B132" s="209" t="s">
        <v>243</v>
      </c>
      <c r="C132" s="129">
        <f>C133+C140</f>
        <v>44237.5</v>
      </c>
      <c r="D132" s="208">
        <f t="shared" ref="D132:G132" si="94">D133+D140</f>
        <v>44237.5</v>
      </c>
      <c r="E132" s="208">
        <f t="shared" si="94"/>
        <v>3698.6</v>
      </c>
      <c r="F132" s="208">
        <f t="shared" si="94"/>
        <v>0</v>
      </c>
      <c r="G132" s="208">
        <f t="shared" si="94"/>
        <v>3698.6</v>
      </c>
      <c r="H132" s="108">
        <f t="shared" si="91"/>
        <v>3.7999999999999999E-2</v>
      </c>
      <c r="I132" s="153">
        <f t="shared" si="92"/>
        <v>1</v>
      </c>
      <c r="J132" s="109">
        <f t="shared" si="54"/>
        <v>-40538.9</v>
      </c>
      <c r="K132" s="108">
        <f t="shared" si="55"/>
        <v>8.4000000000000005E-2</v>
      </c>
      <c r="L132" s="107">
        <f t="shared" si="56"/>
        <v>3698.6</v>
      </c>
    </row>
    <row r="133" spans="1:12" ht="40.5" x14ac:dyDescent="0.2">
      <c r="A133" s="17">
        <v>611</v>
      </c>
      <c r="B133" s="9" t="s">
        <v>104</v>
      </c>
      <c r="C133" s="129">
        <f>C135+C136+C137+C138+C139</f>
        <v>43237.5</v>
      </c>
      <c r="D133" s="208">
        <f>D135+D136+D137+D138+D139</f>
        <v>43237.5</v>
      </c>
      <c r="E133" s="208">
        <f t="shared" ref="E133:G133" si="95">E135+E136+E137+E138+E139</f>
        <v>3654.8</v>
      </c>
      <c r="F133" s="208">
        <f t="shared" si="95"/>
        <v>0</v>
      </c>
      <c r="G133" s="208">
        <f t="shared" si="95"/>
        <v>3654.8</v>
      </c>
      <c r="H133" s="108">
        <f t="shared" ref="H133:H140" si="96">G133/$G$196</f>
        <v>3.6999999999999998E-2</v>
      </c>
      <c r="I133" s="153">
        <f t="shared" si="92"/>
        <v>1</v>
      </c>
      <c r="J133" s="109">
        <f t="shared" si="54"/>
        <v>-39582.699999999997</v>
      </c>
      <c r="K133" s="108">
        <f t="shared" si="55"/>
        <v>8.5000000000000006E-2</v>
      </c>
      <c r="L133" s="107">
        <f t="shared" si="56"/>
        <v>3654.8</v>
      </c>
    </row>
    <row r="134" spans="1:12" x14ac:dyDescent="0.2">
      <c r="A134" s="134"/>
      <c r="B134" s="135" t="s">
        <v>27</v>
      </c>
      <c r="C134" s="129"/>
      <c r="D134" s="208"/>
      <c r="E134" s="150"/>
      <c r="F134" s="150"/>
      <c r="G134" s="150"/>
      <c r="H134" s="108"/>
      <c r="I134" s="153"/>
      <c r="J134" s="109"/>
      <c r="K134" s="108"/>
      <c r="L134" s="107"/>
    </row>
    <row r="135" spans="1:12" x14ac:dyDescent="0.2">
      <c r="A135" s="126"/>
      <c r="B135" s="127" t="s">
        <v>106</v>
      </c>
      <c r="C135" s="129">
        <v>23576.5</v>
      </c>
      <c r="D135" s="208">
        <v>23576.5</v>
      </c>
      <c r="E135" s="150">
        <v>3544.5</v>
      </c>
      <c r="F135" s="150">
        <v>0</v>
      </c>
      <c r="G135" s="150">
        <v>3544.5</v>
      </c>
      <c r="H135" s="108">
        <f t="shared" si="96"/>
        <v>3.5999999999999997E-2</v>
      </c>
      <c r="I135" s="153">
        <f t="shared" si="92"/>
        <v>1</v>
      </c>
      <c r="J135" s="109">
        <f t="shared" si="54"/>
        <v>-20032</v>
      </c>
      <c r="K135" s="108">
        <f t="shared" si="55"/>
        <v>0.15</v>
      </c>
      <c r="L135" s="107">
        <f t="shared" si="56"/>
        <v>3544.5</v>
      </c>
    </row>
    <row r="136" spans="1:12" x14ac:dyDescent="0.2">
      <c r="A136" s="126"/>
      <c r="B136" s="127" t="s">
        <v>196</v>
      </c>
      <c r="C136" s="129">
        <v>13.9</v>
      </c>
      <c r="D136" s="208">
        <v>13.9</v>
      </c>
      <c r="E136" s="150">
        <v>0</v>
      </c>
      <c r="F136" s="150">
        <v>0</v>
      </c>
      <c r="G136" s="150">
        <v>0</v>
      </c>
      <c r="H136" s="108">
        <f t="shared" si="96"/>
        <v>0</v>
      </c>
      <c r="I136" s="153" t="str">
        <f t="shared" si="92"/>
        <v>0,0%</v>
      </c>
      <c r="J136" s="109">
        <f t="shared" si="54"/>
        <v>-13.9</v>
      </c>
      <c r="K136" s="108">
        <f t="shared" si="55"/>
        <v>0</v>
      </c>
      <c r="L136" s="107">
        <f t="shared" si="56"/>
        <v>0</v>
      </c>
    </row>
    <row r="137" spans="1:12" x14ac:dyDescent="0.2">
      <c r="A137" s="126"/>
      <c r="B137" s="127" t="s">
        <v>109</v>
      </c>
      <c r="C137" s="129">
        <v>861.4</v>
      </c>
      <c r="D137" s="208">
        <v>861.4</v>
      </c>
      <c r="E137" s="150">
        <v>61</v>
      </c>
      <c r="F137" s="150">
        <v>0</v>
      </c>
      <c r="G137" s="150">
        <v>61</v>
      </c>
      <c r="H137" s="108">
        <f t="shared" si="96"/>
        <v>1E-3</v>
      </c>
      <c r="I137" s="153">
        <f t="shared" si="92"/>
        <v>1</v>
      </c>
      <c r="J137" s="109">
        <f t="shared" si="54"/>
        <v>-800.4</v>
      </c>
      <c r="K137" s="108">
        <f t="shared" si="55"/>
        <v>7.0999999999999994E-2</v>
      </c>
      <c r="L137" s="107">
        <f t="shared" si="56"/>
        <v>61</v>
      </c>
    </row>
    <row r="138" spans="1:12" x14ac:dyDescent="0.2">
      <c r="A138" s="126"/>
      <c r="B138" s="127" t="s">
        <v>194</v>
      </c>
      <c r="C138" s="129">
        <v>37.299999999999997</v>
      </c>
      <c r="D138" s="208">
        <v>37.299999999999997</v>
      </c>
      <c r="E138" s="150">
        <v>0</v>
      </c>
      <c r="F138" s="150">
        <v>0</v>
      </c>
      <c r="G138" s="150">
        <v>0</v>
      </c>
      <c r="H138" s="108">
        <f t="shared" si="96"/>
        <v>0</v>
      </c>
      <c r="I138" s="153" t="str">
        <f t="shared" si="92"/>
        <v>0,0%</v>
      </c>
      <c r="J138" s="109">
        <f t="shared" si="54"/>
        <v>-37.299999999999997</v>
      </c>
      <c r="K138" s="108">
        <f t="shared" si="55"/>
        <v>0</v>
      </c>
      <c r="L138" s="107">
        <f t="shared" si="56"/>
        <v>0</v>
      </c>
    </row>
    <row r="139" spans="1:12" x14ac:dyDescent="0.2">
      <c r="A139" s="126"/>
      <c r="B139" s="127" t="s">
        <v>195</v>
      </c>
      <c r="C139" s="129">
        <v>18748.400000000001</v>
      </c>
      <c r="D139" s="208">
        <v>18748.400000000001</v>
      </c>
      <c r="E139" s="150">
        <v>49.3</v>
      </c>
      <c r="F139" s="150">
        <v>0</v>
      </c>
      <c r="G139" s="150">
        <v>49.3</v>
      </c>
      <c r="H139" s="108">
        <f t="shared" si="96"/>
        <v>1E-3</v>
      </c>
      <c r="I139" s="153">
        <f t="shared" si="92"/>
        <v>1</v>
      </c>
      <c r="J139" s="109">
        <f t="shared" si="54"/>
        <v>-18699.099999999999</v>
      </c>
      <c r="K139" s="108">
        <f t="shared" si="55"/>
        <v>3.0000000000000001E-3</v>
      </c>
      <c r="L139" s="107">
        <f t="shared" si="56"/>
        <v>49.3</v>
      </c>
    </row>
    <row r="140" spans="1:12" x14ac:dyDescent="0.2">
      <c r="A140" s="17">
        <v>612</v>
      </c>
      <c r="B140" s="9" t="s">
        <v>105</v>
      </c>
      <c r="C140" s="129">
        <v>1000</v>
      </c>
      <c r="D140" s="208">
        <v>1000</v>
      </c>
      <c r="E140" s="150">
        <v>43.8</v>
      </c>
      <c r="F140" s="150">
        <v>0</v>
      </c>
      <c r="G140" s="150">
        <v>43.8</v>
      </c>
      <c r="H140" s="108">
        <f t="shared" si="96"/>
        <v>0</v>
      </c>
      <c r="I140" s="153">
        <f t="shared" si="92"/>
        <v>1</v>
      </c>
      <c r="J140" s="109">
        <f t="shared" si="54"/>
        <v>-956.2</v>
      </c>
      <c r="K140" s="108">
        <f t="shared" si="55"/>
        <v>4.3999999999999997E-2</v>
      </c>
      <c r="L140" s="107">
        <f t="shared" si="56"/>
        <v>43.8</v>
      </c>
    </row>
    <row r="141" spans="1:12" s="1" customFormat="1" ht="27" x14ac:dyDescent="0.2">
      <c r="A141" s="16" t="s">
        <v>58</v>
      </c>
      <c r="B141" s="9" t="s">
        <v>59</v>
      </c>
      <c r="C141" s="129">
        <v>1006.5</v>
      </c>
      <c r="D141" s="208">
        <v>1006.5</v>
      </c>
      <c r="E141" s="150">
        <v>206.7</v>
      </c>
      <c r="F141" s="150">
        <f>F142</f>
        <v>195</v>
      </c>
      <c r="G141" s="150">
        <v>206.7</v>
      </c>
      <c r="H141" s="108">
        <f>G141/$G$196</f>
        <v>2E-3</v>
      </c>
      <c r="I141" s="153">
        <f t="shared" si="92"/>
        <v>1</v>
      </c>
      <c r="J141" s="109">
        <f t="shared" si="54"/>
        <v>-799.8</v>
      </c>
      <c r="K141" s="108">
        <f t="shared" si="55"/>
        <v>0.20499999999999999</v>
      </c>
      <c r="L141" s="107">
        <f t="shared" si="56"/>
        <v>11.7</v>
      </c>
    </row>
    <row r="142" spans="1:12" s="1" customFormat="1" x14ac:dyDescent="0.2">
      <c r="A142" s="16"/>
      <c r="B142" s="9" t="s">
        <v>209</v>
      </c>
      <c r="C142" s="129">
        <v>1006.5</v>
      </c>
      <c r="D142" s="208">
        <v>1006.5</v>
      </c>
      <c r="E142" s="150">
        <v>206.7</v>
      </c>
      <c r="F142" s="150">
        <v>195</v>
      </c>
      <c r="G142" s="150">
        <v>206.7</v>
      </c>
      <c r="H142" s="108">
        <f>G142/$G$196</f>
        <v>2E-3</v>
      </c>
      <c r="I142" s="153">
        <f t="shared" si="92"/>
        <v>1</v>
      </c>
      <c r="J142" s="109">
        <f t="shared" ref="J142" si="97">G142-D142</f>
        <v>-799.8</v>
      </c>
      <c r="K142" s="108">
        <f t="shared" ref="K142" si="98">G142/D142</f>
        <v>0.20499999999999999</v>
      </c>
      <c r="L142" s="107">
        <f t="shared" ref="L142" si="99">G142-F142</f>
        <v>11.7</v>
      </c>
    </row>
    <row r="143" spans="1:12" s="1" customFormat="1" hidden="1" x14ac:dyDescent="0.2">
      <c r="A143" s="16"/>
      <c r="B143" s="9" t="s">
        <v>213</v>
      </c>
      <c r="C143" s="129">
        <v>0</v>
      </c>
      <c r="D143" s="30">
        <v>0</v>
      </c>
      <c r="E143" s="7">
        <v>0</v>
      </c>
      <c r="F143" s="7">
        <v>0</v>
      </c>
      <c r="G143" s="7">
        <v>0</v>
      </c>
      <c r="H143" s="108">
        <f t="shared" ref="H143" si="100">G143/$G$196</f>
        <v>0</v>
      </c>
      <c r="I143" s="153" t="str">
        <f t="shared" ref="I143" si="101">IF(E143=0,"0,0%",G143/E143)</f>
        <v>0,0%</v>
      </c>
      <c r="J143" s="109">
        <f t="shared" ref="J143" si="102">G143-D143</f>
        <v>0</v>
      </c>
      <c r="K143" s="108">
        <v>0</v>
      </c>
      <c r="L143" s="107">
        <f t="shared" ref="L143" si="103">G143-F143</f>
        <v>0</v>
      </c>
    </row>
    <row r="144" spans="1:12" x14ac:dyDescent="0.2">
      <c r="A144" s="134"/>
      <c r="B144" s="135" t="s">
        <v>143</v>
      </c>
      <c r="C144" s="135"/>
      <c r="D144" s="136"/>
      <c r="E144" s="136"/>
      <c r="F144" s="136"/>
      <c r="G144" s="136"/>
      <c r="H144" s="108"/>
      <c r="I144" s="108"/>
      <c r="J144" s="109"/>
      <c r="K144" s="108"/>
      <c r="L144" s="107"/>
    </row>
    <row r="145" spans="1:12" x14ac:dyDescent="0.2">
      <c r="A145" s="126"/>
      <c r="B145" s="127" t="s">
        <v>106</v>
      </c>
      <c r="C145" s="128">
        <f>C135</f>
        <v>23576.5</v>
      </c>
      <c r="D145" s="128">
        <f>D135</f>
        <v>23576.5</v>
      </c>
      <c r="E145" s="128">
        <f t="shared" ref="E145:G145" si="104">E135</f>
        <v>3544.5</v>
      </c>
      <c r="F145" s="128">
        <f t="shared" si="104"/>
        <v>0</v>
      </c>
      <c r="G145" s="128">
        <f t="shared" si="104"/>
        <v>3544.5</v>
      </c>
      <c r="H145" s="108">
        <f t="shared" ref="H145:H150" si="105">G145/$G$196</f>
        <v>3.5999999999999997E-2</v>
      </c>
      <c r="I145" s="153">
        <f t="shared" ref="I145:I150" si="106">IF(E145=0,"0,0%",G145/E145)</f>
        <v>1</v>
      </c>
      <c r="J145" s="109">
        <f>G145-D145</f>
        <v>-20032</v>
      </c>
      <c r="K145" s="108">
        <v>0</v>
      </c>
      <c r="L145" s="107">
        <f>G145-F145</f>
        <v>3544.5</v>
      </c>
    </row>
    <row r="146" spans="1:12" s="181" customFormat="1" ht="13.5" hidden="1" customHeight="1" x14ac:dyDescent="0.2">
      <c r="A146" s="183"/>
      <c r="B146" s="184" t="s">
        <v>154</v>
      </c>
      <c r="C146" s="185"/>
      <c r="D146" s="185"/>
      <c r="E146" s="185"/>
      <c r="F146" s="185">
        <v>0</v>
      </c>
      <c r="G146" s="185">
        <v>0</v>
      </c>
      <c r="H146" s="178">
        <f t="shared" si="105"/>
        <v>0</v>
      </c>
      <c r="I146" s="182" t="str">
        <f>IF(E146=0,"0,0%",G146/E146)</f>
        <v>0,0%</v>
      </c>
      <c r="J146" s="179">
        <f>G146-D146</f>
        <v>0</v>
      </c>
      <c r="K146" s="178" t="e">
        <f>G146/D146</f>
        <v>#DIV/0!</v>
      </c>
      <c r="L146" s="180">
        <f>G146-F146</f>
        <v>0</v>
      </c>
    </row>
    <row r="147" spans="1:12" x14ac:dyDescent="0.2">
      <c r="A147" s="126"/>
      <c r="B147" s="144" t="s">
        <v>168</v>
      </c>
      <c r="C147" s="129">
        <v>69604.899999999994</v>
      </c>
      <c r="D147" s="129">
        <v>76496.800000000003</v>
      </c>
      <c r="E147" s="129">
        <v>14561.8</v>
      </c>
      <c r="F147" s="129">
        <v>23845.9</v>
      </c>
      <c r="G147" s="129">
        <v>14561.8</v>
      </c>
      <c r="H147" s="108">
        <f t="shared" si="105"/>
        <v>0.14799999999999999</v>
      </c>
      <c r="I147" s="153">
        <f t="shared" si="106"/>
        <v>1</v>
      </c>
      <c r="J147" s="109">
        <f>G147-D147</f>
        <v>-61935</v>
      </c>
      <c r="K147" s="108">
        <f>G147/D147</f>
        <v>0.19</v>
      </c>
      <c r="L147" s="107">
        <f>G147-F147</f>
        <v>-9284.1</v>
      </c>
    </row>
    <row r="148" spans="1:12" s="27" customFormat="1" x14ac:dyDescent="0.2">
      <c r="A148" s="94" t="s">
        <v>118</v>
      </c>
      <c r="B148" s="102" t="s">
        <v>117</v>
      </c>
      <c r="C148" s="96">
        <f>C149</f>
        <v>11391</v>
      </c>
      <c r="D148" s="96">
        <f>D149</f>
        <v>11391</v>
      </c>
      <c r="E148" s="96">
        <f>E149</f>
        <v>2001.4</v>
      </c>
      <c r="F148" s="96">
        <f>F149</f>
        <v>2409.6</v>
      </c>
      <c r="G148" s="96">
        <f>G149</f>
        <v>2001.4</v>
      </c>
      <c r="H148" s="97">
        <f t="shared" si="105"/>
        <v>0.02</v>
      </c>
      <c r="I148" s="153">
        <f t="shared" si="106"/>
        <v>1</v>
      </c>
      <c r="J148" s="98">
        <f t="shared" si="54"/>
        <v>-9389.6</v>
      </c>
      <c r="K148" s="97">
        <f t="shared" si="55"/>
        <v>0.17599999999999999</v>
      </c>
      <c r="L148" s="99">
        <f t="shared" si="56"/>
        <v>-408.2</v>
      </c>
    </row>
    <row r="149" spans="1:12" s="48" customFormat="1" x14ac:dyDescent="0.2">
      <c r="A149" s="131" t="s">
        <v>45</v>
      </c>
      <c r="B149" s="132" t="s">
        <v>53</v>
      </c>
      <c r="C149" s="123">
        <f>C150+C157</f>
        <v>11391</v>
      </c>
      <c r="D149" s="123">
        <f>D150+D157</f>
        <v>11391</v>
      </c>
      <c r="E149" s="123">
        <f>E150+E157</f>
        <v>2001.4</v>
      </c>
      <c r="F149" s="123">
        <f>F150+F157</f>
        <v>2409.6</v>
      </c>
      <c r="G149" s="123">
        <f>G150+G157</f>
        <v>2001.4</v>
      </c>
      <c r="H149" s="108">
        <f t="shared" si="105"/>
        <v>0.02</v>
      </c>
      <c r="I149" s="153">
        <f t="shared" si="106"/>
        <v>1</v>
      </c>
      <c r="J149" s="109">
        <f t="shared" si="54"/>
        <v>-9389.6</v>
      </c>
      <c r="K149" s="108">
        <f t="shared" si="55"/>
        <v>0.17599999999999999</v>
      </c>
      <c r="L149" s="107">
        <f t="shared" si="56"/>
        <v>-408.2</v>
      </c>
    </row>
    <row r="150" spans="1:12" ht="40.5" x14ac:dyDescent="0.2">
      <c r="A150" s="17">
        <v>611</v>
      </c>
      <c r="B150" s="9" t="s">
        <v>104</v>
      </c>
      <c r="C150" s="128">
        <f>SUM(C152:C156)</f>
        <v>10391</v>
      </c>
      <c r="D150" s="150">
        <f>SUM(D152:D156)</f>
        <v>10304.200000000001</v>
      </c>
      <c r="E150" s="150">
        <f t="shared" ref="E150:G150" si="107">SUM(E152:E156)</f>
        <v>1914.6</v>
      </c>
      <c r="F150" s="150">
        <f t="shared" si="107"/>
        <v>2320.9</v>
      </c>
      <c r="G150" s="150">
        <f t="shared" si="107"/>
        <v>1914.6</v>
      </c>
      <c r="H150" s="108">
        <f t="shared" si="105"/>
        <v>1.9E-2</v>
      </c>
      <c r="I150" s="153">
        <f t="shared" si="106"/>
        <v>1</v>
      </c>
      <c r="J150" s="109">
        <f>G150-D150</f>
        <v>-8389.6</v>
      </c>
      <c r="K150" s="108">
        <f t="shared" si="55"/>
        <v>0.186</v>
      </c>
      <c r="L150" s="107">
        <f>G150-F150</f>
        <v>-406.3</v>
      </c>
    </row>
    <row r="151" spans="1:12" x14ac:dyDescent="0.2">
      <c r="A151" s="134"/>
      <c r="B151" s="135" t="s">
        <v>27</v>
      </c>
      <c r="C151" s="210"/>
      <c r="D151" s="150"/>
      <c r="E151" s="150"/>
      <c r="F151" s="150"/>
      <c r="G151" s="150"/>
      <c r="H151" s="108"/>
      <c r="I151" s="108"/>
      <c r="J151" s="109"/>
      <c r="K151" s="108"/>
      <c r="L151" s="107"/>
    </row>
    <row r="152" spans="1:12" x14ac:dyDescent="0.2">
      <c r="A152" s="126"/>
      <c r="B152" s="127" t="s">
        <v>106</v>
      </c>
      <c r="C152" s="128">
        <v>8619</v>
      </c>
      <c r="D152" s="150">
        <v>8619</v>
      </c>
      <c r="E152" s="150">
        <v>1755.2</v>
      </c>
      <c r="F152" s="150">
        <v>2217.1999999999998</v>
      </c>
      <c r="G152" s="150">
        <v>1755.2</v>
      </c>
      <c r="H152" s="108">
        <f>G152/$G$196</f>
        <v>1.7999999999999999E-2</v>
      </c>
      <c r="I152" s="153">
        <f t="shared" ref="I152:I164" si="108">IF(E152=0,"0,0%",G152/E152)</f>
        <v>1</v>
      </c>
      <c r="J152" s="109">
        <f>G152-D152</f>
        <v>-6863.8</v>
      </c>
      <c r="K152" s="108">
        <f>G152/D152</f>
        <v>0.20399999999999999</v>
      </c>
      <c r="L152" s="107">
        <f>G152-F152</f>
        <v>-462</v>
      </c>
    </row>
    <row r="153" spans="1:12" x14ac:dyDescent="0.2">
      <c r="A153" s="126"/>
      <c r="B153" s="127" t="s">
        <v>196</v>
      </c>
      <c r="C153" s="128">
        <v>141.6</v>
      </c>
      <c r="D153" s="150">
        <v>136.5</v>
      </c>
      <c r="E153" s="150">
        <v>9.5</v>
      </c>
      <c r="F153" s="150">
        <v>10.5</v>
      </c>
      <c r="G153" s="150">
        <v>9.5</v>
      </c>
      <c r="H153" s="108">
        <f>G153/$G$196</f>
        <v>0</v>
      </c>
      <c r="I153" s="153">
        <f t="shared" si="108"/>
        <v>1</v>
      </c>
      <c r="J153" s="109">
        <f>G153-D153</f>
        <v>-127</v>
      </c>
      <c r="K153" s="108">
        <f>G153/D153</f>
        <v>7.0000000000000007E-2</v>
      </c>
      <c r="L153" s="107">
        <f>G153-F153</f>
        <v>-1</v>
      </c>
    </row>
    <row r="154" spans="1:12" x14ac:dyDescent="0.2">
      <c r="A154" s="126"/>
      <c r="B154" s="127" t="s">
        <v>109</v>
      </c>
      <c r="C154" s="128">
        <v>1072.0999999999999</v>
      </c>
      <c r="D154" s="150">
        <v>990.4</v>
      </c>
      <c r="E154" s="150">
        <v>149.9</v>
      </c>
      <c r="F154" s="150">
        <v>86.1</v>
      </c>
      <c r="G154" s="150">
        <v>149.9</v>
      </c>
      <c r="H154" s="108">
        <f>G154/$G$196</f>
        <v>2E-3</v>
      </c>
      <c r="I154" s="153">
        <f t="shared" si="108"/>
        <v>1</v>
      </c>
      <c r="J154" s="109">
        <f>G154-D154</f>
        <v>-840.5</v>
      </c>
      <c r="K154" s="108">
        <f>G154/D154</f>
        <v>0.151</v>
      </c>
      <c r="L154" s="107">
        <f>G154-F154</f>
        <v>63.8</v>
      </c>
    </row>
    <row r="155" spans="1:12" x14ac:dyDescent="0.2">
      <c r="A155" s="126"/>
      <c r="B155" s="127" t="s">
        <v>194</v>
      </c>
      <c r="C155" s="128">
        <v>95</v>
      </c>
      <c r="D155" s="150">
        <v>95</v>
      </c>
      <c r="E155" s="150">
        <v>0</v>
      </c>
      <c r="F155" s="150">
        <v>0</v>
      </c>
      <c r="G155" s="150">
        <v>0</v>
      </c>
      <c r="H155" s="108">
        <f t="shared" ref="H155:H156" si="109">G155/$G$196</f>
        <v>0</v>
      </c>
      <c r="I155" s="153" t="str">
        <f t="shared" si="108"/>
        <v>0,0%</v>
      </c>
      <c r="J155" s="109">
        <f>G155-D155</f>
        <v>-95</v>
      </c>
      <c r="K155" s="108">
        <f t="shared" ref="K155" si="110">G155/D155</f>
        <v>0</v>
      </c>
      <c r="L155" s="107">
        <f t="shared" ref="L155:L156" si="111">G155-F155</f>
        <v>0</v>
      </c>
    </row>
    <row r="156" spans="1:12" x14ac:dyDescent="0.2">
      <c r="A156" s="126"/>
      <c r="B156" s="127" t="s">
        <v>195</v>
      </c>
      <c r="C156" s="128">
        <v>463.3</v>
      </c>
      <c r="D156" s="150">
        <v>463.3</v>
      </c>
      <c r="E156" s="150">
        <v>0</v>
      </c>
      <c r="F156" s="150">
        <v>7.1</v>
      </c>
      <c r="G156" s="150">
        <v>0</v>
      </c>
      <c r="H156" s="108">
        <f t="shared" si="109"/>
        <v>0</v>
      </c>
      <c r="I156" s="153" t="str">
        <f t="shared" si="108"/>
        <v>0,0%</v>
      </c>
      <c r="J156" s="109">
        <f t="shared" ref="J156" si="112">G156-D156</f>
        <v>-463.3</v>
      </c>
      <c r="K156" s="108">
        <f>G156/D156</f>
        <v>0</v>
      </c>
      <c r="L156" s="107">
        <f t="shared" si="111"/>
        <v>-7.1</v>
      </c>
    </row>
    <row r="157" spans="1:12" x14ac:dyDescent="0.2">
      <c r="A157" s="17">
        <v>612</v>
      </c>
      <c r="B157" s="9" t="s">
        <v>105</v>
      </c>
      <c r="C157" s="128">
        <f>C159+C160</f>
        <v>1000</v>
      </c>
      <c r="D157" s="150">
        <f>D159+D160</f>
        <v>1086.8</v>
      </c>
      <c r="E157" s="150">
        <f t="shared" ref="E157:G157" si="113">E159+E160</f>
        <v>86.8</v>
      </c>
      <c r="F157" s="150">
        <f t="shared" si="113"/>
        <v>88.7</v>
      </c>
      <c r="G157" s="150">
        <f t="shared" si="113"/>
        <v>86.8</v>
      </c>
      <c r="H157" s="108">
        <f>G157/$G$196</f>
        <v>1E-3</v>
      </c>
      <c r="I157" s="153">
        <f>IF(E157=0,"0,0%",G157/E157)</f>
        <v>1</v>
      </c>
      <c r="J157" s="109">
        <f>G157-D157</f>
        <v>-1000</v>
      </c>
      <c r="K157" s="108">
        <f>G157/D157</f>
        <v>0.08</v>
      </c>
      <c r="L157" s="107">
        <f>G157-F157</f>
        <v>-1.9</v>
      </c>
    </row>
    <row r="158" spans="1:12" x14ac:dyDescent="0.2">
      <c r="A158" s="211"/>
      <c r="B158" s="212" t="s">
        <v>27</v>
      </c>
      <c r="C158" s="129"/>
      <c r="D158" s="208"/>
      <c r="E158" s="208"/>
      <c r="F158" s="208"/>
      <c r="G158" s="208"/>
      <c r="H158" s="108"/>
      <c r="I158" s="153"/>
      <c r="J158" s="109"/>
      <c r="K158" s="108"/>
      <c r="L158" s="107"/>
    </row>
    <row r="159" spans="1:12" ht="27" x14ac:dyDescent="0.2">
      <c r="A159" s="211"/>
      <c r="B159" s="212" t="s">
        <v>203</v>
      </c>
      <c r="C159" s="129">
        <v>0</v>
      </c>
      <c r="D159" s="208">
        <v>86.8</v>
      </c>
      <c r="E159" s="208">
        <v>86.8</v>
      </c>
      <c r="F159" s="208">
        <v>88.7</v>
      </c>
      <c r="G159" s="208">
        <v>86.8</v>
      </c>
      <c r="H159" s="108">
        <f>G159/$G$196</f>
        <v>1E-3</v>
      </c>
      <c r="I159" s="153">
        <f>IF(E159=0,"0,0%",G159/E159)</f>
        <v>1</v>
      </c>
      <c r="J159" s="109">
        <f>G159-D159</f>
        <v>0</v>
      </c>
      <c r="K159" s="108">
        <f>G159/D159</f>
        <v>1</v>
      </c>
      <c r="L159" s="107">
        <f>G159-F159</f>
        <v>-1.9</v>
      </c>
    </row>
    <row r="160" spans="1:12" ht="54" x14ac:dyDescent="0.2">
      <c r="A160" s="211" t="s">
        <v>202</v>
      </c>
      <c r="B160" s="212" t="s">
        <v>197</v>
      </c>
      <c r="C160" s="129">
        <v>1000</v>
      </c>
      <c r="D160" s="208">
        <v>1000</v>
      </c>
      <c r="E160" s="208">
        <v>0</v>
      </c>
      <c r="F160" s="208">
        <v>0</v>
      </c>
      <c r="G160" s="208">
        <v>0</v>
      </c>
      <c r="H160" s="108">
        <f>G160/$G$196</f>
        <v>0</v>
      </c>
      <c r="I160" s="153" t="str">
        <f>IF(E160=0,"0,0%",G160/E160)</f>
        <v>0,0%</v>
      </c>
      <c r="J160" s="109">
        <f>G160-D160</f>
        <v>-1000</v>
      </c>
      <c r="K160" s="108">
        <f>G160/D160</f>
        <v>0</v>
      </c>
      <c r="L160" s="107">
        <f>G160-F160</f>
        <v>0</v>
      </c>
    </row>
    <row r="161" spans="1:12" s="27" customFormat="1" x14ac:dyDescent="0.2">
      <c r="A161" s="94" t="s">
        <v>62</v>
      </c>
      <c r="B161" s="100" t="s">
        <v>107</v>
      </c>
      <c r="C161" s="96">
        <f>C162</f>
        <v>58737.9</v>
      </c>
      <c r="D161" s="202">
        <f>D162</f>
        <v>61306.400000000001</v>
      </c>
      <c r="E161" s="96">
        <f>E162</f>
        <v>13904.1</v>
      </c>
      <c r="F161" s="96">
        <f>F162</f>
        <v>15318.2</v>
      </c>
      <c r="G161" s="96">
        <f>G162</f>
        <v>13904.1</v>
      </c>
      <c r="H161" s="97">
        <f>G161/$G$196</f>
        <v>0.14199999999999999</v>
      </c>
      <c r="I161" s="153">
        <f t="shared" si="108"/>
        <v>1</v>
      </c>
      <c r="J161" s="98">
        <f t="shared" si="54"/>
        <v>-47402.3</v>
      </c>
      <c r="K161" s="97">
        <f>G161/D161</f>
        <v>0.22700000000000001</v>
      </c>
      <c r="L161" s="99">
        <f t="shared" si="56"/>
        <v>-1414.1</v>
      </c>
    </row>
    <row r="162" spans="1:12" s="48" customFormat="1" x14ac:dyDescent="0.2">
      <c r="A162" s="131" t="s">
        <v>64</v>
      </c>
      <c r="B162" s="132" t="s">
        <v>63</v>
      </c>
      <c r="C162" s="133">
        <f>C163+C171</f>
        <v>58737.9</v>
      </c>
      <c r="D162" s="133">
        <f>D163+D171</f>
        <v>61306.400000000001</v>
      </c>
      <c r="E162" s="133">
        <f>E163+E171</f>
        <v>13904.1</v>
      </c>
      <c r="F162" s="133">
        <f>F163+F171</f>
        <v>15318.2</v>
      </c>
      <c r="G162" s="133">
        <f>G163+G171</f>
        <v>13904.1</v>
      </c>
      <c r="H162" s="108">
        <f>G162/$G$196</f>
        <v>0.14199999999999999</v>
      </c>
      <c r="I162" s="153">
        <f t="shared" si="108"/>
        <v>1</v>
      </c>
      <c r="J162" s="109">
        <f t="shared" ref="J162:J193" si="114">G162-D162</f>
        <v>-47402.3</v>
      </c>
      <c r="K162" s="108">
        <f t="shared" ref="K162:K193" si="115">G162/D162</f>
        <v>0.22700000000000001</v>
      </c>
      <c r="L162" s="107">
        <f t="shared" ref="L162:L193" si="116">G162-F162</f>
        <v>-1414.1</v>
      </c>
    </row>
    <row r="163" spans="1:12" ht="40.5" x14ac:dyDescent="0.2">
      <c r="A163" s="17">
        <v>611</v>
      </c>
      <c r="B163" s="9" t="s">
        <v>104</v>
      </c>
      <c r="C163" s="128">
        <f>SUM(C166:C170)</f>
        <v>58737.9</v>
      </c>
      <c r="D163" s="150">
        <f>SUM(D166:D170)</f>
        <v>57192.800000000003</v>
      </c>
      <c r="E163" s="150">
        <f t="shared" ref="E163:G163" si="117">SUM(E166:E170)</f>
        <v>12359</v>
      </c>
      <c r="F163" s="150">
        <f t="shared" si="117"/>
        <v>14960.1</v>
      </c>
      <c r="G163" s="150">
        <f t="shared" si="117"/>
        <v>12359</v>
      </c>
      <c r="H163" s="108">
        <f>G163/$G$196</f>
        <v>0.126</v>
      </c>
      <c r="I163" s="153">
        <f t="shared" si="108"/>
        <v>1</v>
      </c>
      <c r="J163" s="109">
        <f t="shared" si="114"/>
        <v>-44833.8</v>
      </c>
      <c r="K163" s="108">
        <f t="shared" si="115"/>
        <v>0.216</v>
      </c>
      <c r="L163" s="107">
        <f t="shared" si="116"/>
        <v>-2601.1</v>
      </c>
    </row>
    <row r="164" spans="1:12" ht="13.5" hidden="1" customHeight="1" x14ac:dyDescent="0.2">
      <c r="A164" s="17"/>
      <c r="B164" s="10" t="s">
        <v>108</v>
      </c>
      <c r="C164" s="128"/>
      <c r="D164" s="7"/>
      <c r="E164" s="7"/>
      <c r="F164" s="7"/>
      <c r="G164" s="7"/>
      <c r="H164" s="108">
        <f t="shared" ref="H164" si="118">G164/$G$196</f>
        <v>0</v>
      </c>
      <c r="I164" s="153" t="str">
        <f t="shared" si="108"/>
        <v>0,0%</v>
      </c>
      <c r="J164" s="109"/>
      <c r="K164" s="108"/>
      <c r="L164" s="107"/>
    </row>
    <row r="165" spans="1:12" x14ac:dyDescent="0.2">
      <c r="A165" s="134"/>
      <c r="B165" s="135" t="s">
        <v>27</v>
      </c>
      <c r="C165" s="135"/>
      <c r="D165" s="150"/>
      <c r="E165" s="150"/>
      <c r="F165" s="150"/>
      <c r="G165" s="150"/>
      <c r="H165" s="108"/>
      <c r="I165" s="153"/>
      <c r="J165" s="109"/>
      <c r="K165" s="108"/>
      <c r="L165" s="107"/>
    </row>
    <row r="166" spans="1:12" x14ac:dyDescent="0.2">
      <c r="A166" s="134"/>
      <c r="B166" s="127" t="s">
        <v>106</v>
      </c>
      <c r="C166" s="128">
        <v>49583.4</v>
      </c>
      <c r="D166" s="150">
        <v>48662.3</v>
      </c>
      <c r="E166" s="150">
        <v>11044.7</v>
      </c>
      <c r="F166" s="150">
        <v>14226.7</v>
      </c>
      <c r="G166" s="150">
        <v>11044.7</v>
      </c>
      <c r="H166" s="108">
        <f>G166/$G$196</f>
        <v>0.112</v>
      </c>
      <c r="I166" s="153">
        <f t="shared" ref="I166:I181" si="119">IF(E166=0,"0,0%",G166/E166)</f>
        <v>1</v>
      </c>
      <c r="J166" s="109">
        <f>G166-D166</f>
        <v>-37617.599999999999</v>
      </c>
      <c r="K166" s="108">
        <f>G166/D166</f>
        <v>0.22700000000000001</v>
      </c>
      <c r="L166" s="107">
        <f>G166-F166</f>
        <v>-3182</v>
      </c>
    </row>
    <row r="167" spans="1:12" x14ac:dyDescent="0.2">
      <c r="A167" s="134"/>
      <c r="B167" s="127" t="s">
        <v>198</v>
      </c>
      <c r="C167" s="128">
        <v>298.10000000000002</v>
      </c>
      <c r="D167" s="150">
        <v>291.8</v>
      </c>
      <c r="E167" s="150">
        <v>45</v>
      </c>
      <c r="F167" s="150">
        <v>34.6</v>
      </c>
      <c r="G167" s="150">
        <v>45</v>
      </c>
      <c r="H167" s="108">
        <f>G167/$G$196</f>
        <v>0</v>
      </c>
      <c r="I167" s="153">
        <f t="shared" si="119"/>
        <v>1</v>
      </c>
      <c r="J167" s="109">
        <f>G167-D167</f>
        <v>-246.8</v>
      </c>
      <c r="K167" s="108">
        <f>G167/D167</f>
        <v>0.154</v>
      </c>
      <c r="L167" s="107">
        <f>G167-F167</f>
        <v>10.4</v>
      </c>
    </row>
    <row r="168" spans="1:12" x14ac:dyDescent="0.2">
      <c r="A168" s="126"/>
      <c r="B168" s="127" t="s">
        <v>109</v>
      </c>
      <c r="C168" s="128">
        <v>6770.9</v>
      </c>
      <c r="D168" s="150">
        <v>6156.8</v>
      </c>
      <c r="E168" s="150">
        <v>1268.8</v>
      </c>
      <c r="F168" s="150">
        <v>698.1</v>
      </c>
      <c r="G168" s="150">
        <v>1268.8</v>
      </c>
      <c r="H168" s="108">
        <f>G168/$G$196</f>
        <v>1.2999999999999999E-2</v>
      </c>
      <c r="I168" s="153">
        <f t="shared" si="119"/>
        <v>1</v>
      </c>
      <c r="J168" s="109">
        <f>G168-D168</f>
        <v>-4888</v>
      </c>
      <c r="K168" s="108">
        <f>G168/D168</f>
        <v>0.20599999999999999</v>
      </c>
      <c r="L168" s="107">
        <f>G168-F168</f>
        <v>570.70000000000005</v>
      </c>
    </row>
    <row r="169" spans="1:12" x14ac:dyDescent="0.2">
      <c r="A169" s="126"/>
      <c r="B169" s="127" t="s">
        <v>194</v>
      </c>
      <c r="C169" s="128">
        <v>1085.5</v>
      </c>
      <c r="D169" s="150">
        <v>1079.2</v>
      </c>
      <c r="E169" s="150">
        <v>0</v>
      </c>
      <c r="F169" s="150">
        <v>0</v>
      </c>
      <c r="G169" s="150">
        <v>0</v>
      </c>
      <c r="H169" s="108">
        <f t="shared" ref="H169:H170" si="120">G169/$G$196</f>
        <v>0</v>
      </c>
      <c r="I169" s="153" t="str">
        <f t="shared" si="119"/>
        <v>0,0%</v>
      </c>
      <c r="J169" s="109">
        <f t="shared" ref="J169:J170" si="121">G169-D169</f>
        <v>-1079.2</v>
      </c>
      <c r="K169" s="108">
        <f t="shared" ref="K169:K170" si="122">G169/D169</f>
        <v>0</v>
      </c>
      <c r="L169" s="107">
        <f t="shared" ref="L169:L170" si="123">G169-F169</f>
        <v>0</v>
      </c>
    </row>
    <row r="170" spans="1:12" x14ac:dyDescent="0.2">
      <c r="A170" s="126"/>
      <c r="B170" s="127" t="s">
        <v>199</v>
      </c>
      <c r="C170" s="128">
        <v>1000</v>
      </c>
      <c r="D170" s="150">
        <v>1002.7</v>
      </c>
      <c r="E170" s="150">
        <v>0.5</v>
      </c>
      <c r="F170" s="150">
        <v>0.7</v>
      </c>
      <c r="G170" s="150">
        <v>0.5</v>
      </c>
      <c r="H170" s="108">
        <f t="shared" si="120"/>
        <v>0</v>
      </c>
      <c r="I170" s="153">
        <f t="shared" si="119"/>
        <v>1</v>
      </c>
      <c r="J170" s="109">
        <f t="shared" si="121"/>
        <v>-1002.2</v>
      </c>
      <c r="K170" s="108">
        <f t="shared" si="122"/>
        <v>0</v>
      </c>
      <c r="L170" s="107">
        <f t="shared" si="123"/>
        <v>-0.2</v>
      </c>
    </row>
    <row r="171" spans="1:12" x14ac:dyDescent="0.2">
      <c r="A171" s="17">
        <v>612</v>
      </c>
      <c r="B171" s="9" t="s">
        <v>105</v>
      </c>
      <c r="C171" s="7">
        <f>C173+C174</f>
        <v>0</v>
      </c>
      <c r="D171" s="150">
        <f>D173+D174</f>
        <v>4113.6000000000004</v>
      </c>
      <c r="E171" s="150">
        <f t="shared" ref="E171:G171" si="124">E173+E174</f>
        <v>1545.1</v>
      </c>
      <c r="F171" s="150">
        <f>F173+F174+0.1</f>
        <v>358.1</v>
      </c>
      <c r="G171" s="150">
        <f t="shared" si="124"/>
        <v>1545.1</v>
      </c>
      <c r="H171" s="108">
        <f>G171/$G$196</f>
        <v>1.6E-2</v>
      </c>
      <c r="I171" s="153">
        <f>IF(E171=0,"0,0%",G171/E171)</f>
        <v>1</v>
      </c>
      <c r="J171" s="109">
        <f>G171-D171</f>
        <v>-2568.5</v>
      </c>
      <c r="K171" s="108">
        <f>G171/D171</f>
        <v>0.376</v>
      </c>
      <c r="L171" s="107">
        <f>G171-F171</f>
        <v>1187</v>
      </c>
    </row>
    <row r="172" spans="1:12" x14ac:dyDescent="0.2">
      <c r="A172" s="211"/>
      <c r="B172" s="209" t="s">
        <v>27</v>
      </c>
      <c r="C172" s="128"/>
      <c r="D172" s="150"/>
      <c r="E172" s="150"/>
      <c r="F172" s="150"/>
      <c r="G172" s="150"/>
      <c r="H172" s="108"/>
      <c r="I172" s="153"/>
      <c r="J172" s="109"/>
      <c r="K172" s="108"/>
      <c r="L172" s="107"/>
    </row>
    <row r="173" spans="1:12" ht="40.5" x14ac:dyDescent="0.2">
      <c r="A173" s="211"/>
      <c r="B173" s="209" t="s">
        <v>204</v>
      </c>
      <c r="C173" s="128">
        <v>0</v>
      </c>
      <c r="D173" s="150">
        <v>1545.1</v>
      </c>
      <c r="E173" s="150">
        <v>1545.1</v>
      </c>
      <c r="F173" s="150">
        <v>188</v>
      </c>
      <c r="G173" s="150">
        <v>1545.1</v>
      </c>
      <c r="H173" s="108">
        <f t="shared" ref="H173:H181" si="125">G173/$G$196</f>
        <v>1.6E-2</v>
      </c>
      <c r="I173" s="153">
        <f t="shared" si="119"/>
        <v>1</v>
      </c>
      <c r="J173" s="109">
        <f>G173-D173</f>
        <v>0</v>
      </c>
      <c r="K173" s="108">
        <f>G173/D173</f>
        <v>1</v>
      </c>
      <c r="L173" s="107">
        <f>G173-F173</f>
        <v>1357.1</v>
      </c>
    </row>
    <row r="174" spans="1:12" ht="67.5" x14ac:dyDescent="0.2">
      <c r="A174" s="211" t="s">
        <v>205</v>
      </c>
      <c r="B174" s="212" t="s">
        <v>200</v>
      </c>
      <c r="C174" s="129">
        <v>0</v>
      </c>
      <c r="D174" s="208">
        <v>2568.5</v>
      </c>
      <c r="E174" s="208">
        <v>0</v>
      </c>
      <c r="F174" s="208">
        <v>170</v>
      </c>
      <c r="G174" s="208">
        <v>0</v>
      </c>
      <c r="H174" s="108">
        <f t="shared" si="125"/>
        <v>0</v>
      </c>
      <c r="I174" s="153" t="str">
        <f t="shared" si="119"/>
        <v>0,0%</v>
      </c>
      <c r="J174" s="109">
        <f>G174-D174</f>
        <v>-2568.5</v>
      </c>
      <c r="K174" s="108">
        <f>G174/D174</f>
        <v>0</v>
      </c>
      <c r="L174" s="107">
        <f>G174-F174</f>
        <v>-170</v>
      </c>
    </row>
    <row r="175" spans="1:12" ht="27" hidden="1" x14ac:dyDescent="0.2">
      <c r="A175" s="126" t="s">
        <v>211</v>
      </c>
      <c r="B175" s="144" t="s">
        <v>212</v>
      </c>
      <c r="C175" s="129">
        <v>0</v>
      </c>
      <c r="D175" s="129">
        <v>0</v>
      </c>
      <c r="E175" s="129">
        <v>0</v>
      </c>
      <c r="F175" s="129">
        <v>0</v>
      </c>
      <c r="G175" s="129">
        <v>0</v>
      </c>
      <c r="H175" s="108">
        <f t="shared" si="125"/>
        <v>0</v>
      </c>
      <c r="I175" s="153" t="str">
        <f t="shared" si="119"/>
        <v>0,0%</v>
      </c>
      <c r="J175" s="109">
        <f>G175-D175</f>
        <v>0</v>
      </c>
      <c r="K175" s="108" t="e">
        <f>G175/D175</f>
        <v>#DIV/0!</v>
      </c>
      <c r="L175" s="107">
        <f>G175-F175</f>
        <v>0</v>
      </c>
    </row>
    <row r="176" spans="1:12" s="27" customFormat="1" x14ac:dyDescent="0.2">
      <c r="A176" s="94" t="s">
        <v>110</v>
      </c>
      <c r="B176" s="100" t="s">
        <v>111</v>
      </c>
      <c r="C176" s="96">
        <f>C177+C178</f>
        <v>652</v>
      </c>
      <c r="D176" s="96">
        <v>652</v>
      </c>
      <c r="E176" s="96">
        <f>E177+E178</f>
        <v>43.7</v>
      </c>
      <c r="F176" s="96">
        <f>F177+F178</f>
        <v>134.80000000000001</v>
      </c>
      <c r="G176" s="96">
        <f>G177+G178</f>
        <v>43.7</v>
      </c>
      <c r="H176" s="97">
        <f t="shared" si="125"/>
        <v>0</v>
      </c>
      <c r="I176" s="153">
        <f t="shared" si="119"/>
        <v>1</v>
      </c>
      <c r="J176" s="98">
        <f t="shared" si="114"/>
        <v>-608.29999999999995</v>
      </c>
      <c r="K176" s="97">
        <f t="shared" si="115"/>
        <v>6.7000000000000004E-2</v>
      </c>
      <c r="L176" s="99">
        <f t="shared" si="116"/>
        <v>-91.1</v>
      </c>
    </row>
    <row r="177" spans="1:12" s="48" customFormat="1" x14ac:dyDescent="0.2">
      <c r="A177" s="16" t="s">
        <v>65</v>
      </c>
      <c r="B177" s="19" t="s">
        <v>66</v>
      </c>
      <c r="C177" s="170">
        <v>652</v>
      </c>
      <c r="D177" s="158">
        <v>652</v>
      </c>
      <c r="E177" s="158">
        <v>43.7</v>
      </c>
      <c r="F177" s="158">
        <v>134.80000000000001</v>
      </c>
      <c r="G177" s="158">
        <v>43.7</v>
      </c>
      <c r="H177" s="108">
        <f t="shared" si="125"/>
        <v>0</v>
      </c>
      <c r="I177" s="153">
        <f t="shared" si="119"/>
        <v>1</v>
      </c>
      <c r="J177" s="109">
        <f t="shared" si="114"/>
        <v>-608.29999999999995</v>
      </c>
      <c r="K177" s="108">
        <f t="shared" si="115"/>
        <v>6.7000000000000004E-2</v>
      </c>
      <c r="L177" s="107">
        <f t="shared" si="116"/>
        <v>-91.1</v>
      </c>
    </row>
    <row r="178" spans="1:12" s="48" customFormat="1" ht="13.5" hidden="1" customHeight="1" x14ac:dyDescent="0.2">
      <c r="A178" s="16" t="s">
        <v>60</v>
      </c>
      <c r="B178" s="19" t="s">
        <v>61</v>
      </c>
      <c r="C178" s="170">
        <v>0</v>
      </c>
      <c r="D178" s="40">
        <v>0</v>
      </c>
      <c r="E178" s="40">
        <v>0</v>
      </c>
      <c r="F178" s="40">
        <v>0</v>
      </c>
      <c r="G178" s="40">
        <v>0</v>
      </c>
      <c r="H178" s="108">
        <f t="shared" si="125"/>
        <v>0</v>
      </c>
      <c r="I178" s="153" t="str">
        <f t="shared" si="119"/>
        <v>0,0%</v>
      </c>
      <c r="J178" s="109">
        <f t="shared" si="114"/>
        <v>0</v>
      </c>
      <c r="K178" s="108">
        <v>0</v>
      </c>
      <c r="L178" s="107">
        <f t="shared" si="116"/>
        <v>0</v>
      </c>
    </row>
    <row r="179" spans="1:12" s="27" customFormat="1" x14ac:dyDescent="0.2">
      <c r="A179" s="94" t="s">
        <v>112</v>
      </c>
      <c r="B179" s="100" t="s">
        <v>50</v>
      </c>
      <c r="C179" s="99">
        <f>C180</f>
        <v>11176.8</v>
      </c>
      <c r="D179" s="99">
        <f t="shared" ref="D179:G179" si="126">D180</f>
        <v>11176.8</v>
      </c>
      <c r="E179" s="99">
        <f t="shared" si="126"/>
        <v>2410</v>
      </c>
      <c r="F179" s="99">
        <f t="shared" si="126"/>
        <v>2268.1</v>
      </c>
      <c r="G179" s="99">
        <f t="shared" si="126"/>
        <v>2409.9</v>
      </c>
      <c r="H179" s="97">
        <f t="shared" si="125"/>
        <v>2.5000000000000001E-2</v>
      </c>
      <c r="I179" s="153">
        <f t="shared" si="119"/>
        <v>1</v>
      </c>
      <c r="J179" s="98">
        <f t="shared" si="114"/>
        <v>-8766.9</v>
      </c>
      <c r="K179" s="97">
        <f t="shared" si="115"/>
        <v>0.216</v>
      </c>
      <c r="L179" s="99">
        <f t="shared" si="116"/>
        <v>141.80000000000001</v>
      </c>
    </row>
    <row r="180" spans="1:12" s="48" customFormat="1" x14ac:dyDescent="0.2">
      <c r="A180" s="16" t="s">
        <v>79</v>
      </c>
      <c r="B180" s="38" t="s">
        <v>172</v>
      </c>
      <c r="C180" s="170">
        <f>C181+C188</f>
        <v>11176.8</v>
      </c>
      <c r="D180" s="158">
        <f>D181+D188</f>
        <v>11176.8</v>
      </c>
      <c r="E180" s="158">
        <f>E181+E188</f>
        <v>2410</v>
      </c>
      <c r="F180" s="158">
        <f>F181+F188</f>
        <v>2268.1</v>
      </c>
      <c r="G180" s="158">
        <f>G181+G188</f>
        <v>2409.9</v>
      </c>
      <c r="H180" s="108">
        <f t="shared" si="125"/>
        <v>2.5000000000000001E-2</v>
      </c>
      <c r="I180" s="153">
        <f t="shared" si="119"/>
        <v>1</v>
      </c>
      <c r="J180" s="109">
        <f t="shared" si="114"/>
        <v>-8766.9</v>
      </c>
      <c r="K180" s="108">
        <f t="shared" si="115"/>
        <v>0.216</v>
      </c>
      <c r="L180" s="107">
        <f t="shared" si="116"/>
        <v>141.80000000000001</v>
      </c>
    </row>
    <row r="181" spans="1:12" ht="40.5" x14ac:dyDescent="0.2">
      <c r="A181" s="17">
        <v>611</v>
      </c>
      <c r="B181" s="9" t="s">
        <v>104</v>
      </c>
      <c r="C181" s="128">
        <f>SUM(C183:C187)</f>
        <v>9076.7999999999993</v>
      </c>
      <c r="D181" s="150">
        <f>SUM(D183:D187)</f>
        <v>8953.7000000000007</v>
      </c>
      <c r="E181" s="150">
        <f t="shared" ref="E181:G181" si="127">SUM(E183:E187)</f>
        <v>1828.2</v>
      </c>
      <c r="F181" s="150">
        <f t="shared" si="127"/>
        <v>1761.4</v>
      </c>
      <c r="G181" s="150">
        <f t="shared" si="127"/>
        <v>1828.2</v>
      </c>
      <c r="H181" s="108">
        <f t="shared" si="125"/>
        <v>1.9E-2</v>
      </c>
      <c r="I181" s="153">
        <f t="shared" si="119"/>
        <v>1</v>
      </c>
      <c r="J181" s="109">
        <f t="shared" si="114"/>
        <v>-7125.5</v>
      </c>
      <c r="K181" s="108">
        <f t="shared" si="115"/>
        <v>0.20399999999999999</v>
      </c>
      <c r="L181" s="107">
        <f t="shared" si="116"/>
        <v>66.8</v>
      </c>
    </row>
    <row r="182" spans="1:12" x14ac:dyDescent="0.2">
      <c r="A182" s="134"/>
      <c r="B182" s="135" t="s">
        <v>27</v>
      </c>
      <c r="C182" s="135"/>
      <c r="D182" s="150"/>
      <c r="E182" s="150"/>
      <c r="F182" s="150"/>
      <c r="G182" s="150"/>
      <c r="H182" s="108"/>
      <c r="I182" s="153"/>
      <c r="J182" s="109"/>
      <c r="K182" s="108"/>
      <c r="L182" s="107"/>
    </row>
    <row r="183" spans="1:12" x14ac:dyDescent="0.2">
      <c r="A183" s="134"/>
      <c r="B183" s="127" t="s">
        <v>106</v>
      </c>
      <c r="C183" s="128">
        <v>7115.4</v>
      </c>
      <c r="D183" s="150">
        <v>7115.4</v>
      </c>
      <c r="E183" s="150">
        <v>1747.5</v>
      </c>
      <c r="F183" s="150">
        <v>1718.3</v>
      </c>
      <c r="G183" s="150">
        <v>1747.5</v>
      </c>
      <c r="H183" s="108">
        <f>G183/$G$196</f>
        <v>1.7999999999999999E-2</v>
      </c>
      <c r="I183" s="153">
        <f t="shared" ref="I183:I196" si="128">IF(E183=0,"0,0%",G183/E183)</f>
        <v>1</v>
      </c>
      <c r="J183" s="109">
        <f>G183-D183</f>
        <v>-5367.9</v>
      </c>
      <c r="K183" s="108">
        <f>G183/D183</f>
        <v>0.246</v>
      </c>
      <c r="L183" s="107">
        <f>G183-F183</f>
        <v>29.2</v>
      </c>
    </row>
    <row r="184" spans="1:12" x14ac:dyDescent="0.2">
      <c r="A184" s="134"/>
      <c r="B184" s="127" t="s">
        <v>198</v>
      </c>
      <c r="C184" s="128">
        <v>33.700000000000003</v>
      </c>
      <c r="D184" s="150">
        <v>32.700000000000003</v>
      </c>
      <c r="E184" s="150">
        <v>4.0999999999999996</v>
      </c>
      <c r="F184" s="150">
        <v>3.9</v>
      </c>
      <c r="G184" s="150">
        <v>4.0999999999999996</v>
      </c>
      <c r="H184" s="108">
        <f>G184/$G$196</f>
        <v>0</v>
      </c>
      <c r="I184" s="153">
        <f t="shared" si="128"/>
        <v>1</v>
      </c>
      <c r="J184" s="109">
        <f>G184-D184</f>
        <v>-28.6</v>
      </c>
      <c r="K184" s="108">
        <f>G184/D184</f>
        <v>0.125</v>
      </c>
      <c r="L184" s="107">
        <f>G184-F184</f>
        <v>0.2</v>
      </c>
    </row>
    <row r="185" spans="1:12" x14ac:dyDescent="0.2">
      <c r="A185" s="126"/>
      <c r="B185" s="127" t="s">
        <v>109</v>
      </c>
      <c r="C185" s="128">
        <v>1256.2</v>
      </c>
      <c r="D185" s="150">
        <v>1135.5999999999999</v>
      </c>
      <c r="E185" s="150">
        <v>76.599999999999994</v>
      </c>
      <c r="F185" s="150">
        <v>39.200000000000003</v>
      </c>
      <c r="G185" s="150">
        <v>76.599999999999994</v>
      </c>
      <c r="H185" s="108">
        <f>G185/$G$196</f>
        <v>1E-3</v>
      </c>
      <c r="I185" s="153">
        <f>IF(E185=0,"0,0%",G185/E185)</f>
        <v>1</v>
      </c>
      <c r="J185" s="109">
        <f>G185-D185</f>
        <v>-1059</v>
      </c>
      <c r="K185" s="108">
        <f>G185/D185</f>
        <v>6.7000000000000004E-2</v>
      </c>
      <c r="L185" s="107">
        <f>G185-F185</f>
        <v>37.4</v>
      </c>
    </row>
    <row r="186" spans="1:12" x14ac:dyDescent="0.2">
      <c r="A186" s="126"/>
      <c r="B186" s="127" t="s">
        <v>194</v>
      </c>
      <c r="C186" s="128">
        <v>208.2</v>
      </c>
      <c r="D186" s="150">
        <v>208.2</v>
      </c>
      <c r="E186" s="150">
        <v>0</v>
      </c>
      <c r="F186" s="150">
        <v>0</v>
      </c>
      <c r="G186" s="150">
        <v>0</v>
      </c>
      <c r="H186" s="108">
        <f t="shared" ref="H186:H187" si="129">G186/$G$196</f>
        <v>0</v>
      </c>
      <c r="I186" s="153" t="str">
        <f t="shared" ref="I186:I187" si="130">IF(E186=0,"0,0%",G186/E186)</f>
        <v>0,0%</v>
      </c>
      <c r="J186" s="109">
        <f t="shared" ref="J186:J187" si="131">G186-D186</f>
        <v>-208.2</v>
      </c>
      <c r="K186" s="108">
        <f t="shared" ref="K186:K187" si="132">G186/D186</f>
        <v>0</v>
      </c>
      <c r="L186" s="107">
        <f t="shared" ref="L186:L187" si="133">G186-F186</f>
        <v>0</v>
      </c>
    </row>
    <row r="187" spans="1:12" x14ac:dyDescent="0.2">
      <c r="A187" s="126"/>
      <c r="B187" s="127" t="s">
        <v>195</v>
      </c>
      <c r="C187" s="128">
        <v>463.3</v>
      </c>
      <c r="D187" s="150">
        <v>461.8</v>
      </c>
      <c r="E187" s="150">
        <v>0</v>
      </c>
      <c r="F187" s="150">
        <v>0</v>
      </c>
      <c r="G187" s="150">
        <v>0</v>
      </c>
      <c r="H187" s="108">
        <f t="shared" si="129"/>
        <v>0</v>
      </c>
      <c r="I187" s="153" t="str">
        <f t="shared" si="130"/>
        <v>0,0%</v>
      </c>
      <c r="J187" s="109">
        <f t="shared" si="131"/>
        <v>-461.8</v>
      </c>
      <c r="K187" s="108">
        <f t="shared" si="132"/>
        <v>0</v>
      </c>
      <c r="L187" s="107">
        <f t="shared" si="133"/>
        <v>0</v>
      </c>
    </row>
    <row r="188" spans="1:12" x14ac:dyDescent="0.2">
      <c r="A188" s="17"/>
      <c r="B188" s="9" t="s">
        <v>105</v>
      </c>
      <c r="C188" s="128">
        <f>C190+C191</f>
        <v>2100</v>
      </c>
      <c r="D188" s="150">
        <f t="shared" ref="D188:G188" si="134">D190+D191</f>
        <v>2223.1</v>
      </c>
      <c r="E188" s="150">
        <f t="shared" si="134"/>
        <v>581.79999999999995</v>
      </c>
      <c r="F188" s="150">
        <f t="shared" si="134"/>
        <v>506.7</v>
      </c>
      <c r="G188" s="150">
        <f t="shared" si="134"/>
        <v>581.70000000000005</v>
      </c>
      <c r="H188" s="108">
        <f>G188/$G$196</f>
        <v>6.0000000000000001E-3</v>
      </c>
      <c r="I188" s="153">
        <f>IF(E188=0,"0,0%",G188/E188)</f>
        <v>1</v>
      </c>
      <c r="J188" s="109">
        <f>G188-D188</f>
        <v>-1641.4</v>
      </c>
      <c r="K188" s="108">
        <f>G188/D188</f>
        <v>0.26200000000000001</v>
      </c>
      <c r="L188" s="107">
        <f>G188-F188</f>
        <v>75</v>
      </c>
    </row>
    <row r="189" spans="1:12" x14ac:dyDescent="0.2">
      <c r="A189" s="211"/>
      <c r="B189" s="209" t="s">
        <v>27</v>
      </c>
      <c r="C189" s="128"/>
      <c r="D189" s="150"/>
      <c r="E189" s="150"/>
      <c r="F189" s="150"/>
      <c r="G189" s="150"/>
      <c r="H189" s="108"/>
      <c r="I189" s="153"/>
      <c r="J189" s="109"/>
      <c r="K189" s="108"/>
      <c r="L189" s="107"/>
    </row>
    <row r="190" spans="1:12" ht="27" x14ac:dyDescent="0.2">
      <c r="A190" s="211"/>
      <c r="B190" s="209" t="s">
        <v>203</v>
      </c>
      <c r="C190" s="128">
        <v>0</v>
      </c>
      <c r="D190" s="150">
        <v>123.1</v>
      </c>
      <c r="E190" s="150">
        <v>123.1</v>
      </c>
      <c r="F190" s="150">
        <v>10.9</v>
      </c>
      <c r="G190" s="150">
        <v>123</v>
      </c>
      <c r="H190" s="108">
        <f t="shared" ref="H190:H196" si="135">G190/$G$196</f>
        <v>1E-3</v>
      </c>
      <c r="I190" s="153">
        <f t="shared" si="128"/>
        <v>0.999</v>
      </c>
      <c r="J190" s="109">
        <f>G190-D190</f>
        <v>-0.1</v>
      </c>
      <c r="K190" s="108">
        <f>G190/D190</f>
        <v>0.999</v>
      </c>
      <c r="L190" s="107">
        <f>G190-F190</f>
        <v>112.1</v>
      </c>
    </row>
    <row r="191" spans="1:12" ht="67.5" x14ac:dyDescent="0.2">
      <c r="A191" s="213" t="s">
        <v>206</v>
      </c>
      <c r="B191" s="209" t="s">
        <v>201</v>
      </c>
      <c r="C191" s="129">
        <v>2100</v>
      </c>
      <c r="D191" s="208">
        <v>2100</v>
      </c>
      <c r="E191" s="208">
        <v>458.7</v>
      </c>
      <c r="F191" s="208">
        <v>495.8</v>
      </c>
      <c r="G191" s="208">
        <v>458.7</v>
      </c>
      <c r="H191" s="108">
        <f t="shared" si="135"/>
        <v>5.0000000000000001E-3</v>
      </c>
      <c r="I191" s="153">
        <f t="shared" si="128"/>
        <v>1</v>
      </c>
      <c r="J191" s="109">
        <f>G191-D191</f>
        <v>-1641.3</v>
      </c>
      <c r="K191" s="108">
        <f>G191/D191</f>
        <v>0.218</v>
      </c>
      <c r="L191" s="107">
        <f>G191-F191</f>
        <v>-37.1</v>
      </c>
    </row>
    <row r="192" spans="1:12" s="27" customFormat="1" ht="27" x14ac:dyDescent="0.2">
      <c r="A192" s="103">
        <v>1300</v>
      </c>
      <c r="B192" s="100" t="s">
        <v>113</v>
      </c>
      <c r="C192" s="99">
        <f>C193</f>
        <v>8707.2000000000007</v>
      </c>
      <c r="D192" s="99">
        <f>D193</f>
        <v>8707.2000000000007</v>
      </c>
      <c r="E192" s="99">
        <f>E193</f>
        <v>4034.6</v>
      </c>
      <c r="F192" s="99">
        <f>F193</f>
        <v>2305.4</v>
      </c>
      <c r="G192" s="99">
        <f>G193</f>
        <v>4034.6</v>
      </c>
      <c r="H192" s="97">
        <f t="shared" si="135"/>
        <v>4.1000000000000002E-2</v>
      </c>
      <c r="I192" s="153">
        <f t="shared" si="128"/>
        <v>1</v>
      </c>
      <c r="J192" s="98">
        <f t="shared" si="114"/>
        <v>-4672.6000000000004</v>
      </c>
      <c r="K192" s="97">
        <f t="shared" si="115"/>
        <v>0.46300000000000002</v>
      </c>
      <c r="L192" s="99">
        <f t="shared" si="116"/>
        <v>1729.2</v>
      </c>
    </row>
    <row r="193" spans="1:12" s="48" customFormat="1" ht="27" x14ac:dyDescent="0.2">
      <c r="A193" s="16" t="s">
        <v>77</v>
      </c>
      <c r="B193" s="38" t="s">
        <v>114</v>
      </c>
      <c r="C193" s="170">
        <v>8707.2000000000007</v>
      </c>
      <c r="D193" s="158">
        <v>8707.2000000000007</v>
      </c>
      <c r="E193" s="158">
        <v>4034.6</v>
      </c>
      <c r="F193" s="158">
        <v>2305.4</v>
      </c>
      <c r="G193" s="158">
        <v>4034.6</v>
      </c>
      <c r="H193" s="108">
        <f t="shared" si="135"/>
        <v>4.1000000000000002E-2</v>
      </c>
      <c r="I193" s="153">
        <f t="shared" si="128"/>
        <v>1</v>
      </c>
      <c r="J193" s="109">
        <f t="shared" si="114"/>
        <v>-4672.6000000000004</v>
      </c>
      <c r="K193" s="108">
        <f t="shared" si="115"/>
        <v>0.46300000000000002</v>
      </c>
      <c r="L193" s="107">
        <f t="shared" si="116"/>
        <v>1729.2</v>
      </c>
    </row>
    <row r="194" spans="1:12" s="27" customFormat="1" ht="40.5" x14ac:dyDescent="0.2">
      <c r="A194" s="103">
        <v>1400</v>
      </c>
      <c r="B194" s="100" t="s">
        <v>174</v>
      </c>
      <c r="C194" s="99">
        <f>C195</f>
        <v>60000</v>
      </c>
      <c r="D194" s="99">
        <f>D195</f>
        <v>60000</v>
      </c>
      <c r="E194" s="99">
        <f>E195</f>
        <v>0</v>
      </c>
      <c r="F194" s="99">
        <f>F195</f>
        <v>46450</v>
      </c>
      <c r="G194" s="99">
        <f>G195</f>
        <v>0</v>
      </c>
      <c r="H194" s="97">
        <f t="shared" si="135"/>
        <v>0</v>
      </c>
      <c r="I194" s="153" t="str">
        <f t="shared" ref="I194:I195" si="136">IF(E194=0,"0,0%",G194/E194)</f>
        <v>0,0%</v>
      </c>
      <c r="J194" s="98">
        <f t="shared" ref="J194:J195" si="137">G194-D194</f>
        <v>-60000</v>
      </c>
      <c r="K194" s="97">
        <f t="shared" ref="K194:K195" si="138">G194/D194</f>
        <v>0</v>
      </c>
      <c r="L194" s="99">
        <f t="shared" ref="L194:L195" si="139">G194-F194</f>
        <v>-46450</v>
      </c>
    </row>
    <row r="195" spans="1:12" s="48" customFormat="1" ht="27" x14ac:dyDescent="0.2">
      <c r="A195" s="16" t="s">
        <v>173</v>
      </c>
      <c r="B195" s="38" t="s">
        <v>175</v>
      </c>
      <c r="C195" s="170">
        <v>60000</v>
      </c>
      <c r="D195" s="158">
        <v>60000</v>
      </c>
      <c r="E195" s="158">
        <v>0</v>
      </c>
      <c r="F195" s="158">
        <v>46450</v>
      </c>
      <c r="G195" s="158">
        <v>0</v>
      </c>
      <c r="H195" s="108">
        <f t="shared" si="135"/>
        <v>0</v>
      </c>
      <c r="I195" s="153" t="str">
        <f t="shared" si="136"/>
        <v>0,0%</v>
      </c>
      <c r="J195" s="109">
        <f t="shared" si="137"/>
        <v>-60000</v>
      </c>
      <c r="K195" s="108">
        <f t="shared" si="138"/>
        <v>0</v>
      </c>
      <c r="L195" s="107">
        <f t="shared" si="139"/>
        <v>-46450</v>
      </c>
    </row>
    <row r="196" spans="1:12" s="27" customFormat="1" ht="16.5" x14ac:dyDescent="0.2">
      <c r="A196" s="94"/>
      <c r="B196" s="104" t="s">
        <v>55</v>
      </c>
      <c r="C196" s="99">
        <f>C51+C70+C77+C106+C148+C161+C176+C179+C192+C194</f>
        <v>620999.9</v>
      </c>
      <c r="D196" s="203">
        <f>D51+D70+D77+D106+D148+D161+D176+D179+D192+D194</f>
        <v>624992.4</v>
      </c>
      <c r="E196" s="99">
        <f>E51+E70+E77+E106+E148+E161+E176+E179+E192+E194</f>
        <v>98201</v>
      </c>
      <c r="F196" s="99">
        <f>F51+F70+F77+F106+F148+F161+F176+F179+F192+F194</f>
        <v>156481.4</v>
      </c>
      <c r="G196" s="99">
        <f>G51+G70+G77+G106+G148+G161+G176+G179+G192+G194</f>
        <v>98200.9</v>
      </c>
      <c r="H196" s="97">
        <f t="shared" si="135"/>
        <v>1</v>
      </c>
      <c r="I196" s="153">
        <f t="shared" si="128"/>
        <v>1</v>
      </c>
      <c r="J196" s="99">
        <f>J51+J70+J77+J106+J148+J161+J176+J179+J192</f>
        <v>-466791.5</v>
      </c>
      <c r="K196" s="97">
        <f>G196/D196</f>
        <v>0.157</v>
      </c>
      <c r="L196" s="99">
        <f>G196-F196</f>
        <v>-58280.5</v>
      </c>
    </row>
    <row r="197" spans="1:12" s="1" customFormat="1" ht="16.5" x14ac:dyDescent="0.2">
      <c r="A197" s="35"/>
      <c r="B197" s="83"/>
      <c r="C197" s="174"/>
      <c r="D197" s="93"/>
      <c r="E197" s="93"/>
      <c r="F197" s="204"/>
      <c r="G197" s="93"/>
      <c r="H197" s="120"/>
      <c r="I197" s="152"/>
      <c r="J197" s="121"/>
      <c r="K197" s="120"/>
      <c r="L197" s="122"/>
    </row>
    <row r="198" spans="1:12" x14ac:dyDescent="0.2">
      <c r="A198" s="18"/>
      <c r="B198" s="6" t="s">
        <v>68</v>
      </c>
      <c r="C198" s="230">
        <f>C48-C196</f>
        <v>0</v>
      </c>
      <c r="D198" s="232">
        <f>D48-D196</f>
        <v>-3992.5</v>
      </c>
      <c r="E198" s="232">
        <f>E48-E196</f>
        <v>3353.3</v>
      </c>
      <c r="F198" s="232">
        <f>F48-F196</f>
        <v>-7905.6</v>
      </c>
      <c r="G198" s="232">
        <f>G48-G196</f>
        <v>884.5</v>
      </c>
      <c r="H198" s="222">
        <f>G198/G198</f>
        <v>1</v>
      </c>
      <c r="I198" s="152"/>
      <c r="J198" s="224">
        <f t="shared" ref="J198:J204" si="140">G198-D198</f>
        <v>4877</v>
      </c>
      <c r="K198" s="222">
        <f>G198/D198</f>
        <v>-0.222</v>
      </c>
      <c r="L198" s="227">
        <f>G198-F198</f>
        <v>8790.1</v>
      </c>
    </row>
    <row r="199" spans="1:12" x14ac:dyDescent="0.2">
      <c r="A199" s="18"/>
      <c r="B199" s="6" t="s">
        <v>69</v>
      </c>
      <c r="C199" s="231"/>
      <c r="D199" s="233"/>
      <c r="E199" s="233"/>
      <c r="F199" s="233"/>
      <c r="G199" s="233"/>
      <c r="H199" s="223"/>
      <c r="I199" s="153" t="str">
        <f>IF(E199=0,"0,0%",G199/E199)</f>
        <v>0,0%</v>
      </c>
      <c r="J199" s="225"/>
      <c r="K199" s="223"/>
      <c r="L199" s="228"/>
    </row>
    <row r="200" spans="1:12" ht="27" x14ac:dyDescent="0.2">
      <c r="A200" s="18"/>
      <c r="B200" s="6" t="s">
        <v>70</v>
      </c>
      <c r="C200" s="172">
        <f>C201+C204</f>
        <v>0</v>
      </c>
      <c r="D200" s="5">
        <f>D201+D204</f>
        <v>3992.5</v>
      </c>
      <c r="E200" s="156">
        <f>E201+E204</f>
        <v>-3353.3</v>
      </c>
      <c r="F200" s="156">
        <f>F201+F204</f>
        <v>7905.6</v>
      </c>
      <c r="G200" s="156">
        <f>G201+G204</f>
        <v>-884.5</v>
      </c>
      <c r="H200" s="97">
        <f>G200/G200</f>
        <v>1</v>
      </c>
      <c r="I200" s="153">
        <f>IF(E200=0,"0,0%",G200/E200)</f>
        <v>0.26400000000000001</v>
      </c>
      <c r="J200" s="98">
        <f t="shared" si="140"/>
        <v>-4877</v>
      </c>
      <c r="K200" s="97">
        <f t="shared" ref="K200:K206" si="141">G200/D200</f>
        <v>-0.222</v>
      </c>
      <c r="L200" s="99">
        <f>G200-F200</f>
        <v>-8790.1</v>
      </c>
    </row>
    <row r="201" spans="1:12" ht="27" x14ac:dyDescent="0.2">
      <c r="A201" s="49" t="s">
        <v>86</v>
      </c>
      <c r="B201" s="84" t="s">
        <v>87</v>
      </c>
      <c r="C201" s="175">
        <f>C202+C203</f>
        <v>0</v>
      </c>
      <c r="D201" s="41">
        <f>D202+D203</f>
        <v>2565</v>
      </c>
      <c r="E201" s="41">
        <f>E202+E203</f>
        <v>-1925.8</v>
      </c>
      <c r="F201" s="157">
        <f>F202-F203</f>
        <v>0</v>
      </c>
      <c r="G201" s="157">
        <f>G202+G203</f>
        <v>0</v>
      </c>
      <c r="H201" s="97">
        <v>0</v>
      </c>
      <c r="I201" s="97">
        <v>0</v>
      </c>
      <c r="J201" s="98">
        <f t="shared" si="140"/>
        <v>-2565</v>
      </c>
      <c r="K201" s="97">
        <v>0</v>
      </c>
      <c r="L201" s="123">
        <f>G201-F201</f>
        <v>0</v>
      </c>
    </row>
    <row r="202" spans="1:12" s="48" customFormat="1" ht="40.5" x14ac:dyDescent="0.2">
      <c r="A202" s="17" t="s">
        <v>82</v>
      </c>
      <c r="B202" s="85" t="s">
        <v>83</v>
      </c>
      <c r="C202" s="170">
        <v>108500</v>
      </c>
      <c r="D202" s="158">
        <v>121065</v>
      </c>
      <c r="E202" s="40">
        <v>0</v>
      </c>
      <c r="F202" s="158">
        <v>0</v>
      </c>
      <c r="G202" s="158">
        <v>40000</v>
      </c>
      <c r="H202" s="97">
        <v>0</v>
      </c>
      <c r="I202" s="97">
        <v>0</v>
      </c>
      <c r="J202" s="118">
        <f t="shared" si="140"/>
        <v>-81065</v>
      </c>
      <c r="K202" s="117">
        <f t="shared" si="141"/>
        <v>0.33</v>
      </c>
      <c r="L202" s="123">
        <f>G202-F202</f>
        <v>40000</v>
      </c>
    </row>
    <row r="203" spans="1:12" s="48" customFormat="1" ht="40.5" x14ac:dyDescent="0.2">
      <c r="A203" s="17" t="s">
        <v>84</v>
      </c>
      <c r="B203" s="85" t="s">
        <v>85</v>
      </c>
      <c r="C203" s="170">
        <v>-108500</v>
      </c>
      <c r="D203" s="158">
        <v>-118500</v>
      </c>
      <c r="E203" s="40">
        <v>-1925.8</v>
      </c>
      <c r="F203" s="158">
        <v>0</v>
      </c>
      <c r="G203" s="158">
        <v>-40000</v>
      </c>
      <c r="H203" s="97">
        <v>0</v>
      </c>
      <c r="I203" s="97">
        <v>0</v>
      </c>
      <c r="J203" s="118">
        <f t="shared" si="140"/>
        <v>78500</v>
      </c>
      <c r="K203" s="117">
        <f t="shared" si="141"/>
        <v>0.33800000000000002</v>
      </c>
      <c r="L203" s="123">
        <f>G203-F203</f>
        <v>-40000</v>
      </c>
    </row>
    <row r="204" spans="1:12" ht="27" x14ac:dyDescent="0.2">
      <c r="A204" s="49" t="s">
        <v>88</v>
      </c>
      <c r="B204" s="84" t="s">
        <v>89</v>
      </c>
      <c r="C204" s="175">
        <f>C205+C206</f>
        <v>0</v>
      </c>
      <c r="D204" s="41">
        <f>D205+D206</f>
        <v>1427.5</v>
      </c>
      <c r="E204" s="41">
        <f>E205+E206</f>
        <v>-1427.5</v>
      </c>
      <c r="F204" s="157">
        <f>F205+F206</f>
        <v>7905.6</v>
      </c>
      <c r="G204" s="157">
        <f>G205+G206</f>
        <v>-884.5</v>
      </c>
      <c r="H204" s="97">
        <f>G200/G204</f>
        <v>1</v>
      </c>
      <c r="I204" s="97">
        <v>0</v>
      </c>
      <c r="J204" s="98">
        <f t="shared" si="140"/>
        <v>-2312</v>
      </c>
      <c r="K204" s="97">
        <f t="shared" si="141"/>
        <v>-0.62</v>
      </c>
      <c r="L204" s="119">
        <f>G204-F204</f>
        <v>-8790.1</v>
      </c>
    </row>
    <row r="205" spans="1:12" ht="27" x14ac:dyDescent="0.2">
      <c r="A205" s="16" t="s">
        <v>90</v>
      </c>
      <c r="B205" s="8" t="s">
        <v>51</v>
      </c>
      <c r="C205" s="170">
        <v>0</v>
      </c>
      <c r="D205" s="40">
        <v>0</v>
      </c>
      <c r="E205" s="40">
        <v>0</v>
      </c>
      <c r="F205" s="158">
        <v>-148794.6</v>
      </c>
      <c r="G205" s="158">
        <v>-139172.29999999999</v>
      </c>
      <c r="H205" s="97">
        <f t="shared" ref="H205:H206" si="142">G201/G205</f>
        <v>0</v>
      </c>
      <c r="I205" s="97">
        <v>0</v>
      </c>
      <c r="J205" s="109">
        <f>G205-D205</f>
        <v>-139172.29999999999</v>
      </c>
      <c r="K205" s="108">
        <v>0</v>
      </c>
      <c r="L205" s="107">
        <f>-(L48)</f>
        <v>49490.400000000001</v>
      </c>
    </row>
    <row r="206" spans="1:12" ht="27" x14ac:dyDescent="0.2">
      <c r="A206" s="16" t="s">
        <v>91</v>
      </c>
      <c r="B206" s="8" t="s">
        <v>52</v>
      </c>
      <c r="C206" s="170">
        <v>0</v>
      </c>
      <c r="D206" s="40">
        <v>1427.5</v>
      </c>
      <c r="E206" s="158">
        <v>-1427.5</v>
      </c>
      <c r="F206" s="158">
        <v>156700.20000000001</v>
      </c>
      <c r="G206" s="158">
        <v>138287.79999999999</v>
      </c>
      <c r="H206" s="97">
        <f t="shared" si="142"/>
        <v>0.28899999999999998</v>
      </c>
      <c r="I206" s="97">
        <v>0</v>
      </c>
      <c r="J206" s="109">
        <f>G206-D206</f>
        <v>136860.29999999999</v>
      </c>
      <c r="K206" s="108">
        <f t="shared" si="141"/>
        <v>96.873999999999995</v>
      </c>
      <c r="L206" s="107">
        <f>L196</f>
        <v>-58280.5</v>
      </c>
    </row>
    <row r="207" spans="1:12" ht="13.5" hidden="1" customHeight="1" x14ac:dyDescent="0.2">
      <c r="A207" s="17" t="s">
        <v>10</v>
      </c>
      <c r="B207" s="11" t="s">
        <v>9</v>
      </c>
      <c r="C207" s="176"/>
      <c r="D207" s="31"/>
      <c r="E207" s="7" t="s">
        <v>10</v>
      </c>
      <c r="F207" s="7"/>
      <c r="G207" s="7"/>
      <c r="H207" s="108"/>
      <c r="I207" s="108"/>
      <c r="J207" s="109"/>
      <c r="K207" s="108"/>
      <c r="L207" s="107"/>
    </row>
    <row r="208" spans="1:12" ht="27" hidden="1" customHeight="1" x14ac:dyDescent="0.2">
      <c r="A208" s="105"/>
      <c r="B208" s="106" t="s">
        <v>145</v>
      </c>
      <c r="C208" s="107">
        <f>C67+C145+C152+C166+C183</f>
        <v>101158.6</v>
      </c>
      <c r="D208" s="107">
        <f>D67+D145+D152+D166+D183</f>
        <v>100237.5</v>
      </c>
      <c r="E208" s="107">
        <f>E67+E145+E152+E166+E183</f>
        <v>20596.900000000001</v>
      </c>
      <c r="F208" s="107">
        <f>F67+F145+F152+F166+F183</f>
        <v>20916.400000000001</v>
      </c>
      <c r="G208" s="107">
        <f>G67+G145+G152+G166+G183</f>
        <v>20596.900000000001</v>
      </c>
      <c r="H208" s="117">
        <f t="shared" ref="H208:H213" si="143">G208/$G$196</f>
        <v>0.21</v>
      </c>
      <c r="I208" s="153">
        <f t="shared" ref="I208:I213" si="144">IF(E208=0,"0,0%",G208/E208)</f>
        <v>1</v>
      </c>
      <c r="J208" s="118">
        <f t="shared" ref="J208:J213" si="145">G208-D208</f>
        <v>-79640.600000000006</v>
      </c>
      <c r="K208" s="117">
        <f t="shared" ref="K208:K213" si="146">G208/D208</f>
        <v>0.20499999999999999</v>
      </c>
      <c r="L208" s="123">
        <f t="shared" ref="L208:L213" si="147">G208-F208</f>
        <v>-319.5</v>
      </c>
    </row>
    <row r="209" spans="1:12" ht="13.5" hidden="1" customHeight="1" x14ac:dyDescent="0.2">
      <c r="A209" s="105" t="s">
        <v>10</v>
      </c>
      <c r="B209" s="106" t="s">
        <v>144</v>
      </c>
      <c r="C209" s="107">
        <f>C67</f>
        <v>12264.3</v>
      </c>
      <c r="D209" s="107">
        <f t="shared" ref="D209:G209" si="148">D67</f>
        <v>12264.3</v>
      </c>
      <c r="E209" s="107">
        <f t="shared" si="148"/>
        <v>2505</v>
      </c>
      <c r="F209" s="107">
        <f t="shared" ref="F209" si="149">F67</f>
        <v>2754.2</v>
      </c>
      <c r="G209" s="107">
        <f t="shared" si="148"/>
        <v>2505</v>
      </c>
      <c r="H209" s="117">
        <f t="shared" si="143"/>
        <v>2.5999999999999999E-2</v>
      </c>
      <c r="I209" s="153">
        <f t="shared" si="144"/>
        <v>1</v>
      </c>
      <c r="J209" s="118">
        <f t="shared" si="145"/>
        <v>-9759.2999999999993</v>
      </c>
      <c r="K209" s="117">
        <f t="shared" si="146"/>
        <v>0.20399999999999999</v>
      </c>
      <c r="L209" s="123">
        <f t="shared" si="147"/>
        <v>-249.2</v>
      </c>
    </row>
    <row r="210" spans="1:12" ht="13.5" hidden="1" customHeight="1" x14ac:dyDescent="0.2">
      <c r="A210" s="105"/>
      <c r="B210" s="106" t="s">
        <v>181</v>
      </c>
      <c r="C210" s="107">
        <f>C183+C166+C152</f>
        <v>65317.8</v>
      </c>
      <c r="D210" s="107">
        <f>D183+D166+D152</f>
        <v>64396.7</v>
      </c>
      <c r="E210" s="107">
        <f>E183+E166+E152</f>
        <v>14547.4</v>
      </c>
      <c r="F210" s="107">
        <f>F183+F166+F152</f>
        <v>18162.2</v>
      </c>
      <c r="G210" s="107">
        <f>G183+G166+G152</f>
        <v>14547.4</v>
      </c>
      <c r="H210" s="117">
        <f t="shared" si="143"/>
        <v>0.14799999999999999</v>
      </c>
      <c r="I210" s="153">
        <f t="shared" si="144"/>
        <v>1</v>
      </c>
      <c r="J210" s="118">
        <f t="shared" si="145"/>
        <v>-49849.3</v>
      </c>
      <c r="K210" s="117">
        <f t="shared" si="146"/>
        <v>0.22600000000000001</v>
      </c>
      <c r="L210" s="123">
        <f t="shared" si="147"/>
        <v>-3614.8</v>
      </c>
    </row>
    <row r="211" spans="1:12" ht="13.5" hidden="1" customHeight="1" x14ac:dyDescent="0.2">
      <c r="A211" s="105" t="s">
        <v>10</v>
      </c>
      <c r="B211" s="106" t="s">
        <v>109</v>
      </c>
      <c r="C211" s="107">
        <f>C68+C154+C168+C185</f>
        <v>9099.2000000000007</v>
      </c>
      <c r="D211" s="107">
        <f>D68+D154+D168+D185</f>
        <v>8282.7999999999993</v>
      </c>
      <c r="E211" s="107">
        <f>E68+E154+E168+E185</f>
        <v>1495.3</v>
      </c>
      <c r="F211" s="107">
        <f>F68+F154+F168+F185</f>
        <v>823.4</v>
      </c>
      <c r="G211" s="107">
        <f>G68+G154+G168+G185</f>
        <v>1495.3</v>
      </c>
      <c r="H211" s="117">
        <f t="shared" si="143"/>
        <v>1.4999999999999999E-2</v>
      </c>
      <c r="I211" s="153">
        <f t="shared" si="144"/>
        <v>1</v>
      </c>
      <c r="J211" s="118">
        <f t="shared" si="145"/>
        <v>-6787.5</v>
      </c>
      <c r="K211" s="117">
        <f t="shared" si="146"/>
        <v>0.18099999999999999</v>
      </c>
      <c r="L211" s="123">
        <f t="shared" si="147"/>
        <v>671.9</v>
      </c>
    </row>
    <row r="212" spans="1:12" ht="13.5" hidden="1" customHeight="1" x14ac:dyDescent="0.2">
      <c r="A212" s="105" t="s">
        <v>10</v>
      </c>
      <c r="B212" s="110" t="s">
        <v>76</v>
      </c>
      <c r="C212" s="128"/>
      <c r="D212" s="150"/>
      <c r="E212" s="150"/>
      <c r="F212" s="150"/>
      <c r="G212" s="150"/>
      <c r="H212" s="117">
        <f t="shared" si="143"/>
        <v>0</v>
      </c>
      <c r="I212" s="153" t="str">
        <f t="shared" si="144"/>
        <v>0,0%</v>
      </c>
      <c r="J212" s="118">
        <f t="shared" si="145"/>
        <v>0</v>
      </c>
      <c r="K212" s="117" t="e">
        <f t="shared" si="146"/>
        <v>#DIV/0!</v>
      </c>
      <c r="L212" s="123">
        <f t="shared" si="147"/>
        <v>0</v>
      </c>
    </row>
    <row r="213" spans="1:12" ht="13.5" hidden="1" customHeight="1" x14ac:dyDescent="0.2">
      <c r="A213" s="105"/>
      <c r="B213" s="110" t="s">
        <v>115</v>
      </c>
      <c r="C213" s="107">
        <f>C69+C76+C105+C147+C160+C174+C191</f>
        <v>132966.5</v>
      </c>
      <c r="D213" s="107">
        <f>D69+D76+D105+D147+D160+D174+D191</f>
        <v>142426.9</v>
      </c>
      <c r="E213" s="107">
        <f>E69+E76+E105+E147+E160+E174+E191</f>
        <v>17757.5</v>
      </c>
      <c r="F213" s="107">
        <f>F69+F76+F105+F147+F160+F174+F191</f>
        <v>77095.8</v>
      </c>
      <c r="G213" s="107">
        <f>G69+G76+G105+G147+G160+G174+G191</f>
        <v>17757.5</v>
      </c>
      <c r="H213" s="117">
        <f t="shared" si="143"/>
        <v>0.18099999999999999</v>
      </c>
      <c r="I213" s="153">
        <f t="shared" si="144"/>
        <v>1</v>
      </c>
      <c r="J213" s="118">
        <f t="shared" si="145"/>
        <v>-124669.4</v>
      </c>
      <c r="K213" s="117">
        <f t="shared" si="146"/>
        <v>0.125</v>
      </c>
      <c r="L213" s="123">
        <f t="shared" si="147"/>
        <v>-59338.3</v>
      </c>
    </row>
    <row r="214" spans="1:12" x14ac:dyDescent="0.2">
      <c r="B214" s="130"/>
      <c r="C214" s="33"/>
      <c r="D214" s="34"/>
      <c r="E214" s="34"/>
      <c r="F214" s="34"/>
      <c r="G214" s="34"/>
      <c r="H214" s="36"/>
      <c r="I214" s="36"/>
      <c r="J214" s="37"/>
      <c r="K214" s="36"/>
      <c r="L214" s="34"/>
    </row>
    <row r="215" spans="1:12" x14ac:dyDescent="0.2">
      <c r="A215" s="75"/>
      <c r="D215" s="34"/>
      <c r="H215" s="73" t="s">
        <v>10</v>
      </c>
    </row>
    <row r="216" spans="1:12" x14ac:dyDescent="0.2">
      <c r="B216" s="86"/>
      <c r="C216" s="87"/>
      <c r="D216" s="88"/>
      <c r="E216" s="89"/>
      <c r="F216" s="44"/>
      <c r="G216" s="44"/>
      <c r="H216" s="90"/>
      <c r="I216" s="90"/>
      <c r="J216" s="90"/>
      <c r="K216" s="73" t="s">
        <v>10</v>
      </c>
      <c r="L216" s="2"/>
    </row>
    <row r="217" spans="1:12" x14ac:dyDescent="0.2">
      <c r="B217" s="91"/>
      <c r="C217" s="91"/>
      <c r="D217" s="88"/>
      <c r="E217" s="90"/>
      <c r="F217" s="90"/>
      <c r="G217" s="90"/>
      <c r="H217" s="90"/>
      <c r="I217" s="90"/>
      <c r="J217" s="92"/>
    </row>
    <row r="220" spans="1:12" x14ac:dyDescent="0.2">
      <c r="E220" s="73" t="s">
        <v>10</v>
      </c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98:H199"/>
    <mergeCell ref="J198:J199"/>
    <mergeCell ref="K198:K199"/>
    <mergeCell ref="H1:L1"/>
    <mergeCell ref="L198:L199"/>
    <mergeCell ref="A2:K2"/>
    <mergeCell ref="C198:C199"/>
    <mergeCell ref="D198:D199"/>
    <mergeCell ref="E198:E199"/>
    <mergeCell ref="G198:G199"/>
    <mergeCell ref="F198:F199"/>
  </mergeCells>
  <phoneticPr fontId="0" type="noConversion"/>
  <pageMargins left="0.27559055118110237" right="0.19685039370078741" top="0.23622047244094491" bottom="0.23622047244094491" header="0.15748031496062992" footer="0.15748031496062992"/>
  <pageSetup paperSize="9" scale="98" fitToHeight="0" orientation="landscape" blackAndWhite="1" horizontalDpi="4294967292" verticalDpi="4294967292" r:id="rId29"/>
  <headerFooter alignWithMargins="0">
    <oddFooter>&amp;R&amp;"Arial Narrow,обычный"&amp;8Лист &amp;P из &amp;N</oddFooter>
  </headerFooter>
  <rowBreaks count="8" manualBreakCount="8">
    <brk id="23" max="11" man="1"/>
    <brk id="33" max="11" man="1"/>
    <brk id="68" max="11" man="1"/>
    <brk id="98" max="11" man="1"/>
    <brk id="120" max="11" man="1"/>
    <brk id="152" max="11" man="1"/>
    <brk id="180" max="11" man="1"/>
    <brk id="2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gajdukovalv</cp:lastModifiedBy>
  <cp:lastPrinted>2016-04-12T13:14:23Z</cp:lastPrinted>
  <dcterms:created xsi:type="dcterms:W3CDTF">1998-04-06T06:06:47Z</dcterms:created>
  <dcterms:modified xsi:type="dcterms:W3CDTF">2016-04-12T13:14:25Z</dcterms:modified>
</cp:coreProperties>
</file>