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бюджета'!$A$1:$L$183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бюджета'!$A$1:$L$183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бюджета'!$A$1:$K$182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бюджета'!$A$1:$K$183</definedName>
    <definedName name="Z_4F278C51_CC0C_4908_B19B_FD853FE30C23_.wvu.PrintArea" localSheetId="0" hidden="1">'Анализ бюджета'!$A$1:$K$182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бюджета'!$A$1:$L$183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бюджета'!$39:$40,'Анализ бюджета'!$50:$51,'Анализ бюджета'!$138:$138</definedName>
    <definedName name="Z_735893B7_5E6F_4E87_8F79_7422E435EC59_.wvu.PrintArea" localSheetId="0" hidden="1">'Анализ бюджета'!$A$1:$K$185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бюджета'!$32:$37</definedName>
    <definedName name="Z_8F58F720_5478_11D7_8E43_00002120D636_.wvu.PrintArea" localSheetId="0" hidden="1">'Анализ бюджета'!$A$2:$K$53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бюджета'!$A$1:$L$183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бюджета'!$39:$40,'Анализ бюджета'!$50:$51,'Анализ бюджета'!#REF!,'Анализ бюджета'!$138:$138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бюджета'!$A$1:$K$185</definedName>
    <definedName name="Z_97B5DCE1_CCA4_11D7_B6CC_0007E980B7D4_.wvu.Rows" localSheetId="0" hidden="1">'Анализ бюджета'!#REF!,'Анализ бюджета'!$32:$37</definedName>
    <definedName name="Z_A91D99C2_8122_48C0_91AB_172E51C62B1D_.wvu.PrintArea" localSheetId="0" hidden="1">'Анализ бюджета'!$A$1:$K$182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бюджета'!$A$1:$L$183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бюджета'!$138:$138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бюджета'!$A$1:$K$182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бюджета'!$A$1:$L$183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бюджета'!$39:$40,'Анализ бюджета'!$50:$51,'Анализ бюджета'!$138:$138</definedName>
    <definedName name="Z_E64E5F61_FD5E_11DA_AA5B_0004761D6C8E_.wvu.PrintArea" localSheetId="0" hidden="1">'Анализ бюджета'!$A$1:$K$182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бюджета'!$G$52</definedName>
    <definedName name="Всего_расходов_2002">'Анализ бюджета'!#REF!</definedName>
    <definedName name="Всего_расходов_2003">'Анализ бюджета'!$G$127</definedName>
    <definedName name="_xlnm.Print_Titles" localSheetId="0">'Анализ бюджета'!$4:$5</definedName>
    <definedName name="_xlnm.Print_Area" localSheetId="0">'Анализ бюджета'!$A$1:$L$179</definedName>
  </definedNames>
  <calcPr calcId="1257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E166" i="1"/>
  <c r="F166"/>
  <c r="G166"/>
  <c r="F36"/>
  <c r="F47"/>
  <c r="F42"/>
  <c r="F41"/>
  <c r="F32"/>
  <c r="F31"/>
  <c r="F27"/>
  <c r="F25"/>
  <c r="F24"/>
  <c r="F97"/>
  <c r="F146"/>
  <c r="F145"/>
  <c r="F142"/>
  <c r="F141"/>
  <c r="F137"/>
  <c r="F136"/>
  <c r="F132"/>
  <c r="F131"/>
  <c r="F128"/>
  <c r="F129"/>
  <c r="F72"/>
  <c r="F71"/>
  <c r="F58"/>
  <c r="F119"/>
  <c r="F118"/>
  <c r="F115"/>
  <c r="F117"/>
  <c r="F116"/>
  <c r="F113"/>
  <c r="F104"/>
  <c r="F99"/>
  <c r="F91"/>
  <c r="F92"/>
  <c r="F89"/>
  <c r="F66"/>
  <c r="F64"/>
  <c r="F60"/>
  <c r="F125"/>
  <c r="F106"/>
  <c r="E91" l="1"/>
  <c r="E92"/>
  <c r="G148"/>
  <c r="E148"/>
  <c r="E135"/>
  <c r="E119"/>
  <c r="E115"/>
  <c r="E97"/>
  <c r="E85"/>
  <c r="E60"/>
  <c r="D74"/>
  <c r="G156"/>
  <c r="G135"/>
  <c r="G127"/>
  <c r="G97"/>
  <c r="G92"/>
  <c r="G60"/>
  <c r="D156"/>
  <c r="D148"/>
  <c r="D147" s="1"/>
  <c r="D137"/>
  <c r="D135" s="1"/>
  <c r="C137"/>
  <c r="D97" l="1"/>
  <c r="D92"/>
  <c r="D60"/>
  <c r="K104"/>
  <c r="L76"/>
  <c r="J76"/>
  <c r="I76"/>
  <c r="G74"/>
  <c r="F74"/>
  <c r="E74"/>
  <c r="I74" s="1"/>
  <c r="C74"/>
  <c r="J45"/>
  <c r="I45"/>
  <c r="L45"/>
  <c r="F46"/>
  <c r="G48"/>
  <c r="F28"/>
  <c r="D28"/>
  <c r="E28"/>
  <c r="G28"/>
  <c r="C28"/>
  <c r="L74" l="1"/>
  <c r="K74"/>
  <c r="J74"/>
  <c r="L29"/>
  <c r="J28"/>
  <c r="J29"/>
  <c r="I28"/>
  <c r="I29"/>
  <c r="L28"/>
  <c r="F40"/>
  <c r="G40"/>
  <c r="E40"/>
  <c r="G46"/>
  <c r="G23"/>
  <c r="G84"/>
  <c r="G147"/>
  <c r="G55"/>
  <c r="E127"/>
  <c r="D127"/>
  <c r="C176" l="1"/>
  <c r="D175"/>
  <c r="G174"/>
  <c r="E174"/>
  <c r="D174"/>
  <c r="D173"/>
  <c r="D119"/>
  <c r="L120"/>
  <c r="K120"/>
  <c r="J120"/>
  <c r="I120"/>
  <c r="D115"/>
  <c r="L49"/>
  <c r="K49"/>
  <c r="I49"/>
  <c r="F48"/>
  <c r="E48"/>
  <c r="I48" s="1"/>
  <c r="D48"/>
  <c r="C48"/>
  <c r="H171"/>
  <c r="D84"/>
  <c r="D166"/>
  <c r="C166"/>
  <c r="G173"/>
  <c r="C175"/>
  <c r="F175"/>
  <c r="E175"/>
  <c r="G175"/>
  <c r="K12"/>
  <c r="J12"/>
  <c r="I12"/>
  <c r="L12"/>
  <c r="L15"/>
  <c r="L18"/>
  <c r="L20"/>
  <c r="L21"/>
  <c r="L24"/>
  <c r="L25"/>
  <c r="L26"/>
  <c r="L27"/>
  <c r="L31"/>
  <c r="L32"/>
  <c r="L33"/>
  <c r="L35"/>
  <c r="L36"/>
  <c r="L38"/>
  <c r="L41"/>
  <c r="L43"/>
  <c r="L44"/>
  <c r="L47"/>
  <c r="L51"/>
  <c r="D40"/>
  <c r="D34"/>
  <c r="E34"/>
  <c r="F34"/>
  <c r="G34"/>
  <c r="D30"/>
  <c r="E30"/>
  <c r="F30"/>
  <c r="G30"/>
  <c r="D23"/>
  <c r="E23"/>
  <c r="F23"/>
  <c r="D19"/>
  <c r="E19"/>
  <c r="F19"/>
  <c r="G19"/>
  <c r="D17"/>
  <c r="E17"/>
  <c r="F17"/>
  <c r="G17"/>
  <c r="D14"/>
  <c r="E14"/>
  <c r="F14"/>
  <c r="G14"/>
  <c r="D13"/>
  <c r="E13"/>
  <c r="F13"/>
  <c r="G13"/>
  <c r="D11"/>
  <c r="E11"/>
  <c r="F11"/>
  <c r="G11"/>
  <c r="K11" s="1"/>
  <c r="D9"/>
  <c r="D8" s="1"/>
  <c r="E9"/>
  <c r="E8" s="1"/>
  <c r="F9"/>
  <c r="F8" s="1"/>
  <c r="G9"/>
  <c r="C14"/>
  <c r="E16" l="1"/>
  <c r="E7" s="1"/>
  <c r="G8"/>
  <c r="D16"/>
  <c r="D7" s="1"/>
  <c r="G16"/>
  <c r="G7" s="1"/>
  <c r="L14"/>
  <c r="I11"/>
  <c r="L11"/>
  <c r="L17"/>
  <c r="L23"/>
  <c r="L30"/>
  <c r="L34"/>
  <c r="L40"/>
  <c r="J11"/>
  <c r="F16"/>
  <c r="L19"/>
  <c r="L13"/>
  <c r="L48"/>
  <c r="K48"/>
  <c r="C9"/>
  <c r="C30"/>
  <c r="C23"/>
  <c r="C34"/>
  <c r="K36"/>
  <c r="J36"/>
  <c r="I36"/>
  <c r="C11"/>
  <c r="F77"/>
  <c r="D77"/>
  <c r="E77"/>
  <c r="G77"/>
  <c r="C77"/>
  <c r="L160"/>
  <c r="K160"/>
  <c r="J160"/>
  <c r="I160"/>
  <c r="G159"/>
  <c r="F159"/>
  <c r="E159"/>
  <c r="I159" s="1"/>
  <c r="D159"/>
  <c r="C159"/>
  <c r="C148"/>
  <c r="C147" s="1"/>
  <c r="I152"/>
  <c r="C135"/>
  <c r="C127"/>
  <c r="J7" l="1"/>
  <c r="I7"/>
  <c r="L16"/>
  <c r="F7"/>
  <c r="L7" s="1"/>
  <c r="L159"/>
  <c r="K159"/>
  <c r="J159"/>
  <c r="J152"/>
  <c r="L152"/>
  <c r="L121"/>
  <c r="K121"/>
  <c r="J121"/>
  <c r="I121"/>
  <c r="D117"/>
  <c r="D103"/>
  <c r="E103"/>
  <c r="F103"/>
  <c r="G103"/>
  <c r="C103"/>
  <c r="L112"/>
  <c r="K112"/>
  <c r="J112"/>
  <c r="I112"/>
  <c r="L110"/>
  <c r="K110"/>
  <c r="J110"/>
  <c r="I110"/>
  <c r="L109"/>
  <c r="K109"/>
  <c r="J109"/>
  <c r="I109"/>
  <c r="L108"/>
  <c r="J108"/>
  <c r="I108"/>
  <c r="L107"/>
  <c r="K107"/>
  <c r="J107"/>
  <c r="I107"/>
  <c r="L100"/>
  <c r="K100"/>
  <c r="J100"/>
  <c r="I100"/>
  <c r="F178"/>
  <c r="F176"/>
  <c r="F173"/>
  <c r="F169"/>
  <c r="F157"/>
  <c r="F147"/>
  <c r="F144"/>
  <c r="F135"/>
  <c r="F134" s="1"/>
  <c r="F127"/>
  <c r="F126" s="1"/>
  <c r="F84"/>
  <c r="F55"/>
  <c r="F50"/>
  <c r="F39"/>
  <c r="F37"/>
  <c r="F22" s="1"/>
  <c r="L10"/>
  <c r="L58"/>
  <c r="L57"/>
  <c r="L56"/>
  <c r="L9"/>
  <c r="K47"/>
  <c r="I47"/>
  <c r="E46"/>
  <c r="I46" s="1"/>
  <c r="D46"/>
  <c r="C46"/>
  <c r="K25"/>
  <c r="J25"/>
  <c r="I25"/>
  <c r="F161" l="1"/>
  <c r="L46"/>
  <c r="F165"/>
  <c r="K46"/>
  <c r="C84"/>
  <c r="F6" l="1"/>
  <c r="L124"/>
  <c r="K124"/>
  <c r="J124"/>
  <c r="I124"/>
  <c r="L96"/>
  <c r="K96"/>
  <c r="J96"/>
  <c r="I96"/>
  <c r="L88"/>
  <c r="K88"/>
  <c r="J88"/>
  <c r="I88"/>
  <c r="L63"/>
  <c r="J63"/>
  <c r="I63"/>
  <c r="J33"/>
  <c r="I33"/>
  <c r="F52" l="1"/>
  <c r="I9"/>
  <c r="I10"/>
  <c r="I15"/>
  <c r="I18"/>
  <c r="I20"/>
  <c r="I21"/>
  <c r="I24"/>
  <c r="I26"/>
  <c r="I27"/>
  <c r="I31"/>
  <c r="I32"/>
  <c r="I35"/>
  <c r="I38"/>
  <c r="I41"/>
  <c r="I43"/>
  <c r="I44"/>
  <c r="I51"/>
  <c r="K35"/>
  <c r="J35"/>
  <c r="I34"/>
  <c r="J38"/>
  <c r="E42"/>
  <c r="G42"/>
  <c r="D42"/>
  <c r="C42"/>
  <c r="L8"/>
  <c r="K9"/>
  <c r="K10"/>
  <c r="K15"/>
  <c r="K18"/>
  <c r="K20"/>
  <c r="K21"/>
  <c r="K24"/>
  <c r="K26"/>
  <c r="K27"/>
  <c r="K31"/>
  <c r="K32"/>
  <c r="K41"/>
  <c r="J9"/>
  <c r="J10"/>
  <c r="J15"/>
  <c r="J18"/>
  <c r="J20"/>
  <c r="J21"/>
  <c r="J24"/>
  <c r="J26"/>
  <c r="J27"/>
  <c r="J31"/>
  <c r="J32"/>
  <c r="J41"/>
  <c r="J44"/>
  <c r="J43"/>
  <c r="K51"/>
  <c r="G50"/>
  <c r="L50" s="1"/>
  <c r="E50"/>
  <c r="D50"/>
  <c r="C50"/>
  <c r="C40"/>
  <c r="C39" s="1"/>
  <c r="H38"/>
  <c r="G37"/>
  <c r="G22" s="1"/>
  <c r="G6" s="1"/>
  <c r="E37"/>
  <c r="D37"/>
  <c r="D22" s="1"/>
  <c r="D6" s="1"/>
  <c r="C37"/>
  <c r="C19"/>
  <c r="C17"/>
  <c r="C13"/>
  <c r="C8"/>
  <c r="D39" l="1"/>
  <c r="E39"/>
  <c r="G39"/>
  <c r="L39" s="1"/>
  <c r="I37"/>
  <c r="E22"/>
  <c r="E6" s="1"/>
  <c r="L42"/>
  <c r="L37"/>
  <c r="I42"/>
  <c r="F163"/>
  <c r="I40"/>
  <c r="I50"/>
  <c r="I30"/>
  <c r="I23"/>
  <c r="I19"/>
  <c r="I13"/>
  <c r="I8"/>
  <c r="C22"/>
  <c r="I17"/>
  <c r="I14"/>
  <c r="J34"/>
  <c r="K34"/>
  <c r="J37"/>
  <c r="K14"/>
  <c r="K8"/>
  <c r="K13"/>
  <c r="K17"/>
  <c r="K19"/>
  <c r="K23"/>
  <c r="K30"/>
  <c r="K40"/>
  <c r="J40"/>
  <c r="J30"/>
  <c r="J13"/>
  <c r="J23"/>
  <c r="J19"/>
  <c r="J17"/>
  <c r="J14"/>
  <c r="J8"/>
  <c r="D52"/>
  <c r="C16"/>
  <c r="C7" s="1"/>
  <c r="K50"/>
  <c r="H37"/>
  <c r="K42"/>
  <c r="L22" l="1"/>
  <c r="E52"/>
  <c r="I16"/>
  <c r="I39"/>
  <c r="I22"/>
  <c r="C6"/>
  <c r="C52" s="1"/>
  <c r="K39"/>
  <c r="J39"/>
  <c r="K22"/>
  <c r="J22"/>
  <c r="K16"/>
  <c r="J16"/>
  <c r="L6" l="1"/>
  <c r="G52"/>
  <c r="H45" s="1"/>
  <c r="I6"/>
  <c r="K6"/>
  <c r="K7"/>
  <c r="J6"/>
  <c r="E176"/>
  <c r="H36" l="1"/>
  <c r="H28"/>
  <c r="H29"/>
  <c r="J49"/>
  <c r="H49"/>
  <c r="H12"/>
  <c r="H11"/>
  <c r="J48"/>
  <c r="H48"/>
  <c r="L52"/>
  <c r="H33"/>
  <c r="J47"/>
  <c r="H47"/>
  <c r="H25"/>
  <c r="H46"/>
  <c r="J46"/>
  <c r="I52"/>
  <c r="C55"/>
  <c r="I177"/>
  <c r="I175"/>
  <c r="I174"/>
  <c r="I164"/>
  <c r="I158"/>
  <c r="I156"/>
  <c r="I155"/>
  <c r="I154"/>
  <c r="I150"/>
  <c r="I149"/>
  <c r="I148"/>
  <c r="I146"/>
  <c r="I145"/>
  <c r="I143"/>
  <c r="I142"/>
  <c r="I141"/>
  <c r="I139"/>
  <c r="I137"/>
  <c r="I136"/>
  <c r="I133"/>
  <c r="I132"/>
  <c r="I131"/>
  <c r="I129"/>
  <c r="I128"/>
  <c r="I125"/>
  <c r="I123"/>
  <c r="I119"/>
  <c r="I118"/>
  <c r="I117"/>
  <c r="I116"/>
  <c r="I115"/>
  <c r="I113"/>
  <c r="I106"/>
  <c r="I104"/>
  <c r="I102"/>
  <c r="I99"/>
  <c r="I95"/>
  <c r="I94"/>
  <c r="I93"/>
  <c r="I92"/>
  <c r="I91"/>
  <c r="I89"/>
  <c r="I87"/>
  <c r="I85"/>
  <c r="I83"/>
  <c r="I81"/>
  <c r="I79"/>
  <c r="I73"/>
  <c r="I72"/>
  <c r="I71"/>
  <c r="I69"/>
  <c r="I68"/>
  <c r="I66"/>
  <c r="I65"/>
  <c r="I64"/>
  <c r="I61"/>
  <c r="I60"/>
  <c r="I58"/>
  <c r="I57"/>
  <c r="I56"/>
  <c r="D55"/>
  <c r="I77" l="1"/>
  <c r="K95"/>
  <c r="E173"/>
  <c r="E84" l="1"/>
  <c r="I84" s="1"/>
  <c r="I97"/>
  <c r="K97"/>
  <c r="J97"/>
  <c r="L97"/>
  <c r="E178" l="1"/>
  <c r="H35" l="1"/>
  <c r="H34"/>
  <c r="H42"/>
  <c r="H26"/>
  <c r="H44"/>
  <c r="H43"/>
  <c r="H51"/>
  <c r="H41"/>
  <c r="H31"/>
  <c r="H27"/>
  <c r="H24"/>
  <c r="H20"/>
  <c r="H18"/>
  <c r="H15"/>
  <c r="H9"/>
  <c r="H32"/>
  <c r="H21"/>
  <c r="H10"/>
  <c r="H8"/>
  <c r="H14"/>
  <c r="H16"/>
  <c r="H23"/>
  <c r="H50"/>
  <c r="H17"/>
  <c r="H13"/>
  <c r="H7"/>
  <c r="H19"/>
  <c r="H40"/>
  <c r="H30"/>
  <c r="H39"/>
  <c r="H22"/>
  <c r="H6"/>
  <c r="J51"/>
  <c r="J42"/>
  <c r="J50"/>
  <c r="H52"/>
  <c r="K52"/>
  <c r="J52"/>
  <c r="J132" l="1"/>
  <c r="K132"/>
  <c r="L132"/>
  <c r="D176" l="1"/>
  <c r="G176"/>
  <c r="D178"/>
  <c r="G178"/>
  <c r="I178" s="1"/>
  <c r="L177"/>
  <c r="K177"/>
  <c r="J177"/>
  <c r="L174"/>
  <c r="K174"/>
  <c r="J174"/>
  <c r="C173"/>
  <c r="C178"/>
  <c r="E55"/>
  <c r="L72"/>
  <c r="L156"/>
  <c r="K156"/>
  <c r="J156"/>
  <c r="L155"/>
  <c r="K155"/>
  <c r="J155"/>
  <c r="L154"/>
  <c r="K154"/>
  <c r="J154"/>
  <c r="L133"/>
  <c r="K133"/>
  <c r="J133"/>
  <c r="L131"/>
  <c r="K131"/>
  <c r="J131"/>
  <c r="L73"/>
  <c r="K73"/>
  <c r="J73"/>
  <c r="L71"/>
  <c r="K71"/>
  <c r="J71"/>
  <c r="E147"/>
  <c r="J55" l="1"/>
  <c r="K175"/>
  <c r="I173"/>
  <c r="I55"/>
  <c r="I176"/>
  <c r="I147"/>
  <c r="L175"/>
  <c r="J175"/>
  <c r="K178"/>
  <c r="K176"/>
  <c r="L176"/>
  <c r="J176"/>
  <c r="K173"/>
  <c r="L173"/>
  <c r="J173"/>
  <c r="J72"/>
  <c r="J178"/>
  <c r="L178"/>
  <c r="K72"/>
  <c r="L94" l="1"/>
  <c r="J94"/>
  <c r="L93"/>
  <c r="J93"/>
  <c r="J64" l="1"/>
  <c r="L64"/>
  <c r="J83" l="1"/>
  <c r="K83"/>
  <c r="L83"/>
  <c r="D134" l="1"/>
  <c r="C134"/>
  <c r="J89"/>
  <c r="D126"/>
  <c r="E126"/>
  <c r="I127"/>
  <c r="C126"/>
  <c r="J56"/>
  <c r="K56"/>
  <c r="J57"/>
  <c r="K57"/>
  <c r="J58"/>
  <c r="K58"/>
  <c r="J61"/>
  <c r="K61"/>
  <c r="L61"/>
  <c r="J65"/>
  <c r="K65"/>
  <c r="L65"/>
  <c r="J66"/>
  <c r="K66"/>
  <c r="L66"/>
  <c r="J68"/>
  <c r="K68"/>
  <c r="L68"/>
  <c r="J69"/>
  <c r="K69"/>
  <c r="L69"/>
  <c r="J79"/>
  <c r="K79"/>
  <c r="L79"/>
  <c r="J85"/>
  <c r="K85"/>
  <c r="L85"/>
  <c r="J87"/>
  <c r="K87"/>
  <c r="L87"/>
  <c r="K89"/>
  <c r="L89"/>
  <c r="J91"/>
  <c r="K91"/>
  <c r="L91"/>
  <c r="J92"/>
  <c r="K92"/>
  <c r="L92"/>
  <c r="J95"/>
  <c r="L95"/>
  <c r="J102"/>
  <c r="K102"/>
  <c r="L102"/>
  <c r="J123"/>
  <c r="L123"/>
  <c r="J125"/>
  <c r="K125"/>
  <c r="L125"/>
  <c r="J104"/>
  <c r="L104"/>
  <c r="J106"/>
  <c r="K106"/>
  <c r="L106"/>
  <c r="J113"/>
  <c r="K113"/>
  <c r="L113"/>
  <c r="J115"/>
  <c r="K115"/>
  <c r="L115"/>
  <c r="J116"/>
  <c r="K116"/>
  <c r="L116"/>
  <c r="J117"/>
  <c r="K117"/>
  <c r="L117"/>
  <c r="J118"/>
  <c r="K118"/>
  <c r="L118"/>
  <c r="J119"/>
  <c r="K119"/>
  <c r="L119"/>
  <c r="J128"/>
  <c r="K128"/>
  <c r="L128"/>
  <c r="J129"/>
  <c r="K129"/>
  <c r="L129"/>
  <c r="J141"/>
  <c r="K141"/>
  <c r="L141"/>
  <c r="J142"/>
  <c r="K142"/>
  <c r="L142"/>
  <c r="J143"/>
  <c r="K143"/>
  <c r="L143"/>
  <c r="J136"/>
  <c r="K136"/>
  <c r="L136"/>
  <c r="J137"/>
  <c r="K137"/>
  <c r="L137"/>
  <c r="J139"/>
  <c r="K139"/>
  <c r="L139"/>
  <c r="J145"/>
  <c r="K145"/>
  <c r="L145"/>
  <c r="J146"/>
  <c r="L146"/>
  <c r="J148"/>
  <c r="K148"/>
  <c r="L148"/>
  <c r="J149"/>
  <c r="K149"/>
  <c r="L149"/>
  <c r="J150"/>
  <c r="K150"/>
  <c r="L150"/>
  <c r="J158"/>
  <c r="K158"/>
  <c r="L158"/>
  <c r="J81"/>
  <c r="K81"/>
  <c r="L81"/>
  <c r="J99"/>
  <c r="K99"/>
  <c r="L99"/>
  <c r="J60"/>
  <c r="K60"/>
  <c r="L60"/>
  <c r="D144"/>
  <c r="E144"/>
  <c r="G144"/>
  <c r="C144"/>
  <c r="D157"/>
  <c r="E157"/>
  <c r="G157"/>
  <c r="C157"/>
  <c r="C161" l="1"/>
  <c r="D161"/>
  <c r="J135"/>
  <c r="E134"/>
  <c r="E161" s="1"/>
  <c r="I135"/>
  <c r="I157"/>
  <c r="I144"/>
  <c r="I103"/>
  <c r="K127"/>
  <c r="L135"/>
  <c r="J127"/>
  <c r="G134"/>
  <c r="K134" s="1"/>
  <c r="G126"/>
  <c r="K135"/>
  <c r="L127"/>
  <c r="L157"/>
  <c r="J157"/>
  <c r="L147"/>
  <c r="J147"/>
  <c r="L144"/>
  <c r="J144"/>
  <c r="L103"/>
  <c r="J103"/>
  <c r="L84"/>
  <c r="J84"/>
  <c r="L77"/>
  <c r="J77"/>
  <c r="K157"/>
  <c r="K147"/>
  <c r="K144"/>
  <c r="K126"/>
  <c r="K103"/>
  <c r="K84"/>
  <c r="K77"/>
  <c r="G161" l="1"/>
  <c r="H151" s="1"/>
  <c r="I126"/>
  <c r="J126"/>
  <c r="I134"/>
  <c r="J134"/>
  <c r="L134"/>
  <c r="L126"/>
  <c r="H76" l="1"/>
  <c r="H74"/>
  <c r="H161"/>
  <c r="H120"/>
  <c r="H160"/>
  <c r="H159"/>
  <c r="H121"/>
  <c r="H152"/>
  <c r="H112"/>
  <c r="H110"/>
  <c r="H124"/>
  <c r="H108"/>
  <c r="H100"/>
  <c r="H109"/>
  <c r="H107"/>
  <c r="H88"/>
  <c r="H96"/>
  <c r="I161"/>
  <c r="H63"/>
  <c r="H97"/>
  <c r="K161"/>
  <c r="L161"/>
  <c r="H72"/>
  <c r="H73"/>
  <c r="H64"/>
  <c r="H155"/>
  <c r="H94"/>
  <c r="H133"/>
  <c r="H176"/>
  <c r="H83"/>
  <c r="H93"/>
  <c r="H71"/>
  <c r="H131"/>
  <c r="H154"/>
  <c r="H178"/>
  <c r="H175"/>
  <c r="H132"/>
  <c r="H156"/>
  <c r="H173"/>
  <c r="H174"/>
  <c r="H177"/>
  <c r="L168"/>
  <c r="L167"/>
  <c r="K167"/>
  <c r="K168"/>
  <c r="J167"/>
  <c r="J168"/>
  <c r="H170"/>
  <c r="K55"/>
  <c r="J161"/>
  <c r="J166" l="1"/>
  <c r="H56"/>
  <c r="H57"/>
  <c r="H58"/>
  <c r="H61"/>
  <c r="H65"/>
  <c r="H66"/>
  <c r="H68"/>
  <c r="H69"/>
  <c r="H79"/>
  <c r="H85"/>
  <c r="H87"/>
  <c r="H89"/>
  <c r="H91"/>
  <c r="H92"/>
  <c r="H95"/>
  <c r="H102"/>
  <c r="H123"/>
  <c r="H125"/>
  <c r="H104"/>
  <c r="H106"/>
  <c r="H113"/>
  <c r="H115"/>
  <c r="H116"/>
  <c r="H117"/>
  <c r="H118"/>
  <c r="H119"/>
  <c r="H127"/>
  <c r="H128"/>
  <c r="H129"/>
  <c r="H141"/>
  <c r="H142"/>
  <c r="H143"/>
  <c r="H135"/>
  <c r="H136"/>
  <c r="H137"/>
  <c r="H139"/>
  <c r="H145"/>
  <c r="H146"/>
  <c r="H148"/>
  <c r="H149"/>
  <c r="H150"/>
  <c r="H158"/>
  <c r="H81"/>
  <c r="H99"/>
  <c r="H60"/>
  <c r="H157"/>
  <c r="H147"/>
  <c r="H144"/>
  <c r="H134"/>
  <c r="H126"/>
  <c r="H103"/>
  <c r="H84"/>
  <c r="H77"/>
  <c r="L166"/>
  <c r="H55"/>
  <c r="L55"/>
  <c r="J171" l="1"/>
  <c r="K171"/>
  <c r="L171"/>
  <c r="C163"/>
  <c r="C169"/>
  <c r="C165" s="1"/>
  <c r="D169" l="1"/>
  <c r="D165" s="1"/>
  <c r="D163"/>
  <c r="E163"/>
  <c r="E169"/>
  <c r="E165" s="1"/>
  <c r="L170" l="1"/>
  <c r="G163" l="1"/>
  <c r="G169" l="1"/>
  <c r="J170"/>
  <c r="L163"/>
  <c r="J163"/>
  <c r="H163"/>
  <c r="K163"/>
  <c r="L169" l="1"/>
  <c r="K169"/>
  <c r="J169"/>
  <c r="G165"/>
  <c r="I165" s="1"/>
  <c r="J165" l="1"/>
  <c r="H169"/>
  <c r="K165"/>
  <c r="H165"/>
  <c r="L165"/>
</calcChain>
</file>

<file path=xl/sharedStrings.xml><?xml version="1.0" encoding="utf-8"?>
<sst xmlns="http://schemas.openxmlformats.org/spreadsheetml/2006/main" count="283" uniqueCount="241">
  <si>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</si>
  <si>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</si>
  <si>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</si>
  <si>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</si>
  <si>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</si>
  <si>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</si>
  <si>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</si>
  <si>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</si>
  <si>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</si>
  <si>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</si>
  <si>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</si>
  <si>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</si>
  <si>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</si>
  <si>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</si>
  <si>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</si>
  <si>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</si>
  <si>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</si>
  <si>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</si>
  <si>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</si>
  <si>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</si>
  <si>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</si>
  <si>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</si>
  <si>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</si>
  <si>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</si>
  <si>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</si>
  <si>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</si>
  <si>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</si>
  <si>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</si>
  <si>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</si>
  <si>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</si>
  <si>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</si>
  <si>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</si>
  <si>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</si>
  <si>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</si>
  <si>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</si>
  <si>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</si>
  <si>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</si>
  <si>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</si>
  <si>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</si>
  <si>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</si>
  <si>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</si>
  <si>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</si>
  <si>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</si>
  <si>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</si>
  <si>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</si>
  <si>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</si>
  <si>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</si>
  <si>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</si>
  <si>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</si>
  <si>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</si>
  <si>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 xml:space="preserve">Дотации бюджетам субъектов Российской Федерации и муниципальных образований 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</si>
  <si>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</si>
  <si>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</si>
  <si>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</si>
  <si>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</si>
  <si>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</si>
  <si>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</si>
  <si>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</si>
  <si>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</si>
  <si>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</si>
  <si>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</si>
  <si>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</si>
  <si>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</si>
  <si>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</si>
  <si>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</si>
  <si>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</si>
  <si>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</si>
  <si>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</si>
  <si>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</si>
  <si>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</si>
  <si>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</si>
  <si>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</si>
  <si>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</si>
  <si>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</si>
  <si>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</si>
  <si>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</si>
  <si>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</si>
  <si>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</si>
  <si>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</si>
  <si>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</si>
  <si>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</si>
  <si>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</si>
  <si>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</si>
  <si>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</si>
  <si>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</si>
  <si>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</si>
  <si>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</si>
  <si>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0804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</si>
  <si>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</si>
  <si>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</si>
  <si>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</si>
  <si>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</si>
  <si>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</si>
  <si>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</si>
  <si>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</si>
  <si>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</si>
  <si>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</si>
  <si>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</si>
  <si>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</si>
  <si>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</si>
  <si>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</si>
  <si>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</si>
  <si>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</si>
  <si>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</si>
  <si>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</si>
  <si>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</si>
  <si>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</si>
  <si>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</si>
  <si>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содержание автомобильных дорог общего пользования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</si>
  <si>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</si>
  <si>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</si>
  <si>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</si>
  <si>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</si>
  <si>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</si>
  <si>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прочие мероприятия по благоустройству городских округов и поселений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</si>
  <si>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</si>
  <si>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</si>
  <si>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</si>
  <si>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</si>
  <si>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</si>
  <si>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>Другие вопросы в области культуры, кинематографии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</si>
  <si>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</si>
  <si>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</si>
  <si>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</si>
  <si>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</si>
  <si>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</si>
  <si>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</si>
  <si>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</si>
  <si>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</si>
  <si>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</si>
  <si>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</si>
  <si>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</si>
  <si>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</si>
  <si>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</si>
  <si>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</si>
  <si>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</si>
  <si>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</si>
  <si>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</si>
  <si>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</si>
  <si>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</si>
  <si>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</si>
  <si>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134 1 11 05013 10 0000 120</t>
  </si>
  <si>
    <t>104 1 14 02053 10 0000 410</t>
  </si>
  <si>
    <t>134 1 14 06013 10 0000 430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</si>
  <si>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</si>
  <si>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</si>
  <si>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</si>
  <si>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</si>
  <si>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</si>
  <si>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</si>
  <si>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</si>
  <si>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</si>
  <si>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</si>
  <si>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</si>
  <si>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</si>
  <si>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</si>
  <si>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</si>
  <si>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</si>
  <si>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Из них по разделу 0700</t>
  </si>
  <si>
    <t>Из них по разделу 0800</t>
  </si>
  <si>
    <t>Из них по разделу 1100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</si>
  <si>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</si>
  <si>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</si>
  <si>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</si>
  <si>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</si>
  <si>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</si>
  <si>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</si>
  <si>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</si>
  <si>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161 1 16 33050 10 0000 140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</si>
  <si>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</si>
  <si>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104 1 14 06025 10 0000 430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</si>
  <si>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</si>
  <si>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</si>
  <si>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</si>
  <si>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</si>
  <si>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 xml:space="preserve">148 2 02 04999 10 0001 151 </t>
  </si>
  <si>
    <t>Иные межбюджетные трансферты бюджетам поселений из бюджета Энгельсского муниципального района</t>
  </si>
  <si>
    <t>Иные межбюджетные трансферты</t>
  </si>
  <si>
    <t>000 2 02 04000 00 0000 151</t>
  </si>
  <si>
    <t>Уд. вес
в 2014 г.</t>
  </si>
  <si>
    <t>0104</t>
  </si>
  <si>
    <t xml:space="preserve">- межбюджетные трансферты на осуществление переданных полномочий по решению вопросов местного значения поселений 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</si>
  <si>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</si>
  <si>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</si>
  <si>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</si>
  <si>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</si>
  <si>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</si>
  <si>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</si>
  <si>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</si>
  <si>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переселение граждан из  аварийного жилищного фонда  (в рамках МЦП)</t>
  </si>
  <si>
    <t>0502</t>
  </si>
  <si>
    <t>Коммунальное хозяйство</t>
  </si>
  <si>
    <t>Физическая культура, в т.ч.:</t>
  </si>
  <si>
    <t>1105</t>
  </si>
  <si>
    <t>Другие вопросы в области физической культуры и спорта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</si>
  <si>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</si>
  <si>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</si>
  <si>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</si>
  <si>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</si>
  <si>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100 1 03 02000 00 0000 000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</si>
  <si>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</si>
  <si>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</si>
  <si>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</si>
  <si>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</si>
  <si>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</si>
  <si>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</si>
  <si>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</si>
  <si>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СУБСИДИЙ, СУБВЕНЦИЙ И ИНЫХ МЕЖБЮДЖЕТНЫХ ТРАНСФЕРТОВ, ИМЕЮЩИХ ЦЕЛЕВОЕ НАЗНАЧЕНИЕ, ПРОШЛЫХ ЛЕТ</t>
  </si>
  <si>
    <t>000 2 18 00000 00 0000 000</t>
  </si>
  <si>
    <t>119 2 18 05010 10 0000 151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</si>
  <si>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</si>
  <si>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119 219 05000 10 0000 151</t>
  </si>
  <si>
    <t>2610640, 2900430, 3900440</t>
  </si>
  <si>
    <t>- ремонт дворовых территорий многоквартирных домов   (в рамках ВЦП на 2014 год)</t>
  </si>
  <si>
    <t>- замена и модернизация лифтового оборудования  (в рамках МЦП на 2014 год)</t>
  </si>
  <si>
    <t>в т.ч. :субсидии МБУ</t>
  </si>
  <si>
    <t>4000000</t>
  </si>
  <si>
    <t>4200000</t>
  </si>
  <si>
    <t>000 1 13 00000 00 0000 000</t>
  </si>
  <si>
    <t>ДОХОДЫ ОТ ОКАЗАНИЯ ПЛАТНЫХ УСЛУГ (РАБОТ) И КОМПЕНСАЦИИ ЗАТРАТ ГОСУДАРСТВА</t>
  </si>
  <si>
    <t>000 1 13 02990 00 0000 130</t>
  </si>
  <si>
    <t>134 1 11 07015 10 0000 120</t>
  </si>
  <si>
    <t>134 1 11 09045 10 0000 120</t>
  </si>
  <si>
    <t>134 1 11 05000 10 0000 120</t>
  </si>
  <si>
    <t>Субвенции от других  бюджетов бюджетной системы РФ</t>
  </si>
  <si>
    <t>000 2 02 03000 00 0000 151</t>
  </si>
  <si>
    <t>0200</t>
  </si>
  <si>
    <t>НАЦИОНАЛЬНАЯ ОБОРОНА</t>
  </si>
  <si>
    <t>0203</t>
  </si>
  <si>
    <t>Военно-учетные столы (ПМО)</t>
  </si>
  <si>
    <t>Прочие доходы от компенсации затрат государства</t>
  </si>
  <si>
    <t>Уточненный годовой план 
на 01.10.2014 г.</t>
  </si>
  <si>
    <t>План 9 месяцев
.2014 г.</t>
  </si>
  <si>
    <t>Фактическое
исполнение
на 01.10.2013 г.</t>
  </si>
  <si>
    <t>Фактическое
исполнение
на 01.10.2014 г.</t>
  </si>
  <si>
    <t>Процент 
исполнения плана 
9 месяцев</t>
  </si>
  <si>
    <t>Сравнение исполнения на 01.10.2013 и 2014 гг.      (гр.7-гр.6)</t>
  </si>
  <si>
    <t>Анализ исполнения  бюджета муниципального образования город Энгельс за 9 месяцев 2014 года</t>
  </si>
  <si>
    <t>- субсидии бюджетным учреждениям на иные цели (проведение мероприятий)</t>
  </si>
  <si>
    <t>МБТ ЭМР (организация похоронного дела)</t>
  </si>
  <si>
    <t>- мероприятия в области физ.и спорта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</si>
</sst>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6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9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7" fontId="8" fillId="0" borderId="1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3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4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justify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right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8" fontId="12" fillId="2" borderId="1" xfId="0" applyNumberFormat="1" applyFont="1" applyFill="1" applyBorder="1" applyAlignment="1" applyProtection="1">
      <alignment horizontal="right" vertical="center"/>
    </xf>
    <xf numFmtId="168" fontId="11" fillId="2" borderId="1" xfId="0" applyNumberFormat="1" applyFont="1" applyFill="1" applyBorder="1" applyAlignment="1" applyProtection="1">
      <alignment horizontal="right" vertical="center"/>
    </xf>
    <xf numFmtId="3" fontId="18" fillId="5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  <protection locked="0"/>
    </xf>
    <xf numFmtId="167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5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justify" vertical="center" wrapText="1"/>
    </xf>
    <xf numFmtId="167" fontId="2" fillId="5" borderId="2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justify" vertical="center"/>
    </xf>
    <xf numFmtId="0" fontId="9" fillId="6" borderId="1" xfId="0" applyNumberFormat="1" applyFont="1" applyFill="1" applyBorder="1" applyAlignment="1">
      <alignment horizontal="justify" vertical="center"/>
    </xf>
    <xf numFmtId="165" fontId="23" fillId="2" borderId="1" xfId="3" applyNumberFormat="1" applyFont="1" applyFill="1" applyBorder="1" applyAlignment="1">
      <alignment horizontal="right" vertical="center"/>
    </xf>
    <xf numFmtId="168" fontId="23" fillId="2" borderId="1" xfId="0" applyNumberFormat="1" applyFont="1" applyFill="1" applyBorder="1" applyAlignment="1">
      <alignment horizontal="right" vertical="center"/>
    </xf>
    <xf numFmtId="167" fontId="23" fillId="2" borderId="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right" vertical="center"/>
    </xf>
    <xf numFmtId="49" fontId="23" fillId="6" borderId="1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justify" vertical="center"/>
    </xf>
    <xf numFmtId="167" fontId="23" fillId="6" borderId="1" xfId="0" applyNumberFormat="1" applyFont="1" applyFill="1" applyBorder="1" applyAlignment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5" fontId="9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9" fillId="3" borderId="1" xfId="0" applyNumberFormat="1" applyFont="1" applyFill="1" applyBorder="1" applyAlignment="1" applyProtection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167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 applyProtection="1">
      <alignment horizontal="right" vertical="center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9" fillId="0" borderId="2" xfId="0" applyNumberFormat="1" applyFont="1" applyFill="1" applyBorder="1" applyAlignment="1" applyProtection="1">
      <alignment horizontal="right" vertical="center"/>
    </xf>
    <xf numFmtId="167" fontId="2" fillId="0" borderId="1" xfId="0" applyNumberFormat="1" applyFont="1" applyFill="1" applyBorder="1" applyAlignment="1">
      <alignment horizontal="justify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justify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7" fontId="25" fillId="0" borderId="2" xfId="0" applyNumberFormat="1" applyFont="1" applyFill="1" applyBorder="1" applyAlignment="1">
      <alignment horizontal="right" vertical="center"/>
    </xf>
    <xf numFmtId="167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7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7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7" borderId="2" xfId="0" applyNumberFormat="1" applyFont="1" applyFill="1" applyBorder="1" applyAlignment="1" applyProtection="1">
      <alignment horizontal="right" vertical="center" wrapText="1"/>
      <protection locked="0"/>
    </xf>
    <xf numFmtId="167" fontId="9" fillId="7" borderId="2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3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FDE9D9"/>
      <color rgb="FFB7FFC2"/>
      <color rgb="FFB7F8C2"/>
      <color rgb="FF99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185"/>
  <sheetViews>
    <sheetView tabSelected="1" showRuler="0" view="pageBreakPreview" zoomScaleNormal="110" zoomScaleSheetLayoutView="100" workbookViewId="0">
      <pane ySplit="5" topLeftCell="A6" activePane="bottomLeft" state="frozenSplit"/>
      <selection pane="bottomLeft" activeCell="B167" sqref="B167"/>
    </sheetView>
  </sheetViews>
  <sheetFormatPr defaultColWidth="9.140625" defaultRowHeight="13.5"/>
  <cols>
    <col min="1" max="1" width="25.140625" style="30" customWidth="1"/>
    <col min="2" max="2" width="33.7109375" style="67" customWidth="1"/>
    <col min="3" max="3" width="13" style="67" customWidth="1"/>
    <col min="4" max="4" width="12.5703125" style="194" customWidth="1"/>
    <col min="5" max="5" width="9.5703125" style="68" customWidth="1"/>
    <col min="6" max="6" width="12.85546875" style="68" customWidth="1"/>
    <col min="7" max="7" width="10.28515625" style="68" customWidth="1"/>
    <col min="8" max="8" width="8.140625" style="68" customWidth="1"/>
    <col min="9" max="9" width="11.5703125" style="68" customWidth="1"/>
    <col min="10" max="10" width="9.5703125" style="68" customWidth="1"/>
    <col min="11" max="11" width="10.140625" style="68" customWidth="1"/>
    <col min="12" max="12" width="12.85546875" style="68" customWidth="1"/>
    <col min="13" max="16384" width="9.140625" style="2"/>
  </cols>
  <sheetData>
    <row r="1" spans="1:13">
      <c r="H1" s="221"/>
      <c r="I1" s="221"/>
      <c r="J1" s="221"/>
      <c r="K1" s="221"/>
      <c r="L1" s="221"/>
    </row>
    <row r="2" spans="1:13" ht="16.5">
      <c r="A2" s="224" t="s">
        <v>237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9"/>
    </row>
    <row r="3" spans="1:13">
      <c r="A3" s="70"/>
      <c r="B3" s="71"/>
      <c r="C3" s="71"/>
      <c r="D3" s="195"/>
      <c r="E3" s="206"/>
      <c r="F3" s="13"/>
      <c r="G3" s="13"/>
      <c r="L3" s="30" t="s">
        <v>144</v>
      </c>
    </row>
    <row r="4" spans="1:13" s="12" customFormat="1" ht="51">
      <c r="A4" s="15" t="s">
        <v>18</v>
      </c>
      <c r="B4" s="3" t="s">
        <v>20</v>
      </c>
      <c r="C4" s="209" t="s">
        <v>79</v>
      </c>
      <c r="D4" s="209" t="s">
        <v>231</v>
      </c>
      <c r="E4" s="210" t="s">
        <v>232</v>
      </c>
      <c r="F4" s="210" t="s">
        <v>233</v>
      </c>
      <c r="G4" s="210" t="s">
        <v>234</v>
      </c>
      <c r="H4" s="102" t="s">
        <v>179</v>
      </c>
      <c r="I4" s="102" t="s">
        <v>235</v>
      </c>
      <c r="J4" s="101" t="s">
        <v>19</v>
      </c>
      <c r="K4" s="102" t="s">
        <v>11</v>
      </c>
      <c r="L4" s="103" t="s">
        <v>236</v>
      </c>
    </row>
    <row r="5" spans="1:13" s="43" customFormat="1" ht="11.25">
      <c r="A5" s="42">
        <v>1</v>
      </c>
      <c r="B5" s="72" t="s">
        <v>80</v>
      </c>
      <c r="C5" s="144">
        <v>3</v>
      </c>
      <c r="D5" s="196">
        <v>4</v>
      </c>
      <c r="E5" s="42">
        <v>5</v>
      </c>
      <c r="F5" s="42">
        <v>6</v>
      </c>
      <c r="G5" s="42">
        <v>7</v>
      </c>
      <c r="H5" s="105">
        <v>10</v>
      </c>
      <c r="I5" s="105">
        <v>11</v>
      </c>
      <c r="J5" s="104">
        <v>12</v>
      </c>
      <c r="K5" s="105">
        <v>13</v>
      </c>
      <c r="L5" s="106">
        <v>14</v>
      </c>
    </row>
    <row r="6" spans="1:13" s="14" customFormat="1" ht="33">
      <c r="A6" s="46" t="s">
        <v>28</v>
      </c>
      <c r="B6" s="154" t="s">
        <v>203</v>
      </c>
      <c r="C6" s="145">
        <f>C7+C22</f>
        <v>590513.69999999995</v>
      </c>
      <c r="D6" s="197">
        <f>D7+D22</f>
        <v>680393.5</v>
      </c>
      <c r="E6" s="197">
        <f t="shared" ref="E6:F6" si="0">E7+E22</f>
        <v>397181.5</v>
      </c>
      <c r="F6" s="197">
        <f t="shared" si="0"/>
        <v>384075.1</v>
      </c>
      <c r="G6" s="197">
        <f>G7+G22</f>
        <v>389319.2</v>
      </c>
      <c r="H6" s="139">
        <f t="shared" ref="H6:H35" si="1">G6/Всего_доходов_2003</f>
        <v>0.98299999999999998</v>
      </c>
      <c r="I6" s="141">
        <f>IF(E6=0,"0,0%",G6/E6)</f>
        <v>0.98</v>
      </c>
      <c r="J6" s="88">
        <f>G6-D6</f>
        <v>-291074.3</v>
      </c>
      <c r="K6" s="87">
        <f>G6/D6</f>
        <v>0.57199999999999995</v>
      </c>
      <c r="L6" s="115">
        <f>G6-F6</f>
        <v>5244.1</v>
      </c>
      <c r="M6" s="23"/>
    </row>
    <row r="7" spans="1:13" s="14" customFormat="1">
      <c r="A7" s="46"/>
      <c r="B7" s="47" t="s">
        <v>12</v>
      </c>
      <c r="C7" s="145">
        <f>C9+C11+C13+C16</f>
        <v>512008.9</v>
      </c>
      <c r="D7" s="197">
        <f>D9+D11+D13+D16</f>
        <v>597466.9</v>
      </c>
      <c r="E7" s="197">
        <f t="shared" ref="E7:F7" si="2">E9+E11+E13+E16</f>
        <v>327356.79999999999</v>
      </c>
      <c r="F7" s="197">
        <f t="shared" si="2"/>
        <v>297843.8</v>
      </c>
      <c r="G7" s="197">
        <f>G9+G11+G13+G16+G28</f>
        <v>320673.90000000002</v>
      </c>
      <c r="H7" s="139">
        <f t="shared" si="1"/>
        <v>0.80900000000000005</v>
      </c>
      <c r="I7" s="141">
        <f>IF(E7=0,"0,0%",G7/E7)</f>
        <v>0.98</v>
      </c>
      <c r="J7" s="88">
        <f>G7-D7</f>
        <v>-276793</v>
      </c>
      <c r="K7" s="87">
        <f t="shared" ref="K7:K41" si="3">G7/D7</f>
        <v>0.53700000000000003</v>
      </c>
      <c r="L7" s="115">
        <f>G7-F7</f>
        <v>22830.1</v>
      </c>
      <c r="M7" s="23"/>
    </row>
    <row r="8" spans="1:13" s="14" customFormat="1">
      <c r="A8" s="46" t="s">
        <v>29</v>
      </c>
      <c r="B8" s="47" t="s">
        <v>30</v>
      </c>
      <c r="C8" s="145">
        <f>SUM(C9)</f>
        <v>265915</v>
      </c>
      <c r="D8" s="197">
        <f t="shared" ref="D8:F8" si="4">SUM(D9)</f>
        <v>321807.2</v>
      </c>
      <c r="E8" s="197">
        <f t="shared" si="4"/>
        <v>178805.5</v>
      </c>
      <c r="F8" s="197">
        <f t="shared" si="4"/>
        <v>164140.70000000001</v>
      </c>
      <c r="G8" s="197">
        <f>SUM(G9)</f>
        <v>174794.2</v>
      </c>
      <c r="H8" s="139">
        <f t="shared" si="1"/>
        <v>0.441</v>
      </c>
      <c r="I8" s="141">
        <f t="shared" ref="I8:I52" si="5">IF(E8=0,"0,0%",G8/E8)</f>
        <v>0.97799999999999998</v>
      </c>
      <c r="J8" s="88">
        <f t="shared" ref="J8:J41" si="6">G8-D8</f>
        <v>-147013</v>
      </c>
      <c r="K8" s="87">
        <f t="shared" si="3"/>
        <v>0.54300000000000004</v>
      </c>
      <c r="L8" s="115">
        <f>SUM(L9)</f>
        <v>10653.5</v>
      </c>
      <c r="M8" s="23"/>
    </row>
    <row r="9" spans="1:13" s="14" customFormat="1">
      <c r="A9" s="46" t="s">
        <v>31</v>
      </c>
      <c r="B9" s="114" t="s">
        <v>13</v>
      </c>
      <c r="C9" s="145">
        <f>C10</f>
        <v>265915</v>
      </c>
      <c r="D9" s="197">
        <f t="shared" ref="D9:G9" si="7">D10</f>
        <v>321807.2</v>
      </c>
      <c r="E9" s="197">
        <f t="shared" si="7"/>
        <v>178805.5</v>
      </c>
      <c r="F9" s="197">
        <f t="shared" si="7"/>
        <v>164140.70000000001</v>
      </c>
      <c r="G9" s="197">
        <f t="shared" si="7"/>
        <v>174794.2</v>
      </c>
      <c r="H9" s="139">
        <f t="shared" si="1"/>
        <v>0.441</v>
      </c>
      <c r="I9" s="141">
        <f t="shared" si="5"/>
        <v>0.97799999999999998</v>
      </c>
      <c r="J9" s="88">
        <f t="shared" si="6"/>
        <v>-147013</v>
      </c>
      <c r="K9" s="87">
        <f t="shared" si="3"/>
        <v>0.54300000000000004</v>
      </c>
      <c r="L9" s="115">
        <f>G9-F9</f>
        <v>10653.5</v>
      </c>
      <c r="M9" s="23"/>
    </row>
    <row r="10" spans="1:13" s="14" customFormat="1" ht="83.25">
      <c r="A10" s="48" t="s">
        <v>145</v>
      </c>
      <c r="B10" s="50" t="s">
        <v>165</v>
      </c>
      <c r="C10" s="146">
        <v>265915</v>
      </c>
      <c r="D10" s="127">
        <v>321807.2</v>
      </c>
      <c r="E10" s="127">
        <v>178805.5</v>
      </c>
      <c r="F10" s="127">
        <v>164140.70000000001</v>
      </c>
      <c r="G10" s="127">
        <v>174794.2</v>
      </c>
      <c r="H10" s="135">
        <f t="shared" si="1"/>
        <v>0.441</v>
      </c>
      <c r="I10" s="141">
        <f t="shared" si="5"/>
        <v>0.97799999999999998</v>
      </c>
      <c r="J10" s="108">
        <f t="shared" si="6"/>
        <v>-147013</v>
      </c>
      <c r="K10" s="107">
        <f t="shared" si="3"/>
        <v>0.54300000000000004</v>
      </c>
      <c r="L10" s="115">
        <f>G10-F10</f>
        <v>10653.5</v>
      </c>
      <c r="M10" s="23"/>
    </row>
    <row r="11" spans="1:13" s="14" customFormat="1" ht="40.5">
      <c r="A11" s="46" t="s">
        <v>198</v>
      </c>
      <c r="B11" s="53" t="s">
        <v>205</v>
      </c>
      <c r="C11" s="145">
        <f>C12</f>
        <v>16120.2</v>
      </c>
      <c r="D11" s="197">
        <f t="shared" ref="D11:G11" si="8">D12</f>
        <v>16120.2</v>
      </c>
      <c r="E11" s="197">
        <f t="shared" si="8"/>
        <v>10637</v>
      </c>
      <c r="F11" s="197">
        <f t="shared" si="8"/>
        <v>0</v>
      </c>
      <c r="G11" s="197">
        <f t="shared" si="8"/>
        <v>10524.1</v>
      </c>
      <c r="H11" s="135">
        <f t="shared" si="1"/>
        <v>2.7E-2</v>
      </c>
      <c r="I11" s="141">
        <f t="shared" si="5"/>
        <v>0.98899999999999999</v>
      </c>
      <c r="J11" s="108">
        <f t="shared" si="6"/>
        <v>-5596.1</v>
      </c>
      <c r="K11" s="107">
        <f t="shared" si="3"/>
        <v>0.65300000000000002</v>
      </c>
      <c r="L11" s="115">
        <f>G11-F11</f>
        <v>10524.1</v>
      </c>
      <c r="M11" s="23"/>
    </row>
    <row r="12" spans="1:13" s="14" customFormat="1" ht="40.5">
      <c r="A12" s="48" t="s">
        <v>199</v>
      </c>
      <c r="B12" s="180" t="s">
        <v>206</v>
      </c>
      <c r="C12" s="146">
        <v>16120.2</v>
      </c>
      <c r="D12" s="127">
        <v>16120.2</v>
      </c>
      <c r="E12" s="127">
        <v>10637</v>
      </c>
      <c r="F12" s="127">
        <v>0</v>
      </c>
      <c r="G12" s="127">
        <v>10524.1</v>
      </c>
      <c r="H12" s="135">
        <f t="shared" si="1"/>
        <v>2.7E-2</v>
      </c>
      <c r="I12" s="141">
        <f t="shared" si="5"/>
        <v>0.98899999999999999</v>
      </c>
      <c r="J12" s="108">
        <f t="shared" si="6"/>
        <v>-5596.1</v>
      </c>
      <c r="K12" s="107">
        <f t="shared" si="3"/>
        <v>0.65300000000000002</v>
      </c>
      <c r="L12" s="115">
        <f t="shared" ref="L12:L52" si="9">G12-F12</f>
        <v>10524.1</v>
      </c>
      <c r="M12" s="23"/>
    </row>
    <row r="13" spans="1:13" s="21" customFormat="1">
      <c r="A13" s="46" t="s">
        <v>101</v>
      </c>
      <c r="B13" s="53" t="s">
        <v>14</v>
      </c>
      <c r="C13" s="145">
        <f>SUM(C14)</f>
        <v>671</v>
      </c>
      <c r="D13" s="197">
        <f t="shared" ref="D13:G13" si="10">SUM(D14)</f>
        <v>671</v>
      </c>
      <c r="E13" s="197">
        <f t="shared" si="10"/>
        <v>671</v>
      </c>
      <c r="F13" s="197">
        <f t="shared" si="10"/>
        <v>547.6</v>
      </c>
      <c r="G13" s="197">
        <f t="shared" si="10"/>
        <v>808</v>
      </c>
      <c r="H13" s="139">
        <f t="shared" si="1"/>
        <v>2E-3</v>
      </c>
      <c r="I13" s="141">
        <f t="shared" si="5"/>
        <v>1.204</v>
      </c>
      <c r="J13" s="88">
        <f t="shared" si="6"/>
        <v>137</v>
      </c>
      <c r="K13" s="87">
        <f t="shared" si="3"/>
        <v>1.204</v>
      </c>
      <c r="L13" s="115">
        <f t="shared" si="9"/>
        <v>260.39999999999998</v>
      </c>
      <c r="M13" s="24"/>
    </row>
    <row r="14" spans="1:13" s="21" customFormat="1">
      <c r="A14" s="46" t="s">
        <v>32</v>
      </c>
      <c r="B14" s="47" t="s">
        <v>0</v>
      </c>
      <c r="C14" s="145">
        <f>C15</f>
        <v>671</v>
      </c>
      <c r="D14" s="197">
        <f t="shared" ref="D14:G14" si="11">D15</f>
        <v>671</v>
      </c>
      <c r="E14" s="197">
        <f t="shared" si="11"/>
        <v>671</v>
      </c>
      <c r="F14" s="197">
        <f t="shared" si="11"/>
        <v>547.6</v>
      </c>
      <c r="G14" s="197">
        <f t="shared" si="11"/>
        <v>808</v>
      </c>
      <c r="H14" s="139">
        <f t="shared" si="1"/>
        <v>2E-3</v>
      </c>
      <c r="I14" s="141">
        <f t="shared" si="5"/>
        <v>1.204</v>
      </c>
      <c r="J14" s="88">
        <f t="shared" si="6"/>
        <v>137</v>
      </c>
      <c r="K14" s="87">
        <f t="shared" si="3"/>
        <v>1.204</v>
      </c>
      <c r="L14" s="115">
        <f t="shared" si="9"/>
        <v>260.39999999999998</v>
      </c>
      <c r="M14" s="24"/>
    </row>
    <row r="15" spans="1:13" s="21" customFormat="1">
      <c r="A15" s="48" t="s">
        <v>89</v>
      </c>
      <c r="B15" s="50" t="s">
        <v>0</v>
      </c>
      <c r="C15" s="147">
        <v>671</v>
      </c>
      <c r="D15" s="28">
        <v>671</v>
      </c>
      <c r="E15" s="28">
        <v>671</v>
      </c>
      <c r="F15" s="28">
        <v>547.6</v>
      </c>
      <c r="G15" s="28">
        <v>808</v>
      </c>
      <c r="H15" s="135">
        <f t="shared" si="1"/>
        <v>2E-3</v>
      </c>
      <c r="I15" s="141">
        <f t="shared" si="5"/>
        <v>1.204</v>
      </c>
      <c r="J15" s="108">
        <f t="shared" si="6"/>
        <v>137</v>
      </c>
      <c r="K15" s="107">
        <f t="shared" si="3"/>
        <v>1.204</v>
      </c>
      <c r="L15" s="115">
        <f t="shared" si="9"/>
        <v>260.39999999999998</v>
      </c>
      <c r="M15" s="24"/>
    </row>
    <row r="16" spans="1:13" s="21" customFormat="1">
      <c r="A16" s="46" t="s">
        <v>102</v>
      </c>
      <c r="B16" s="47" t="s">
        <v>15</v>
      </c>
      <c r="C16" s="145">
        <f>SUM(C17+C19)</f>
        <v>229302.7</v>
      </c>
      <c r="D16" s="197">
        <f t="shared" ref="D16:G16" si="12">SUM(D17+D19)</f>
        <v>258868.5</v>
      </c>
      <c r="E16" s="197">
        <f t="shared" si="12"/>
        <v>137243.29999999999</v>
      </c>
      <c r="F16" s="197">
        <f t="shared" si="12"/>
        <v>133155.5</v>
      </c>
      <c r="G16" s="197">
        <f t="shared" si="12"/>
        <v>134528.1</v>
      </c>
      <c r="H16" s="139">
        <f t="shared" si="1"/>
        <v>0.34</v>
      </c>
      <c r="I16" s="141">
        <f t="shared" si="5"/>
        <v>0.98</v>
      </c>
      <c r="J16" s="88">
        <f t="shared" si="6"/>
        <v>-124340.4</v>
      </c>
      <c r="K16" s="87">
        <f t="shared" si="3"/>
        <v>0.52</v>
      </c>
      <c r="L16" s="115">
        <f t="shared" si="9"/>
        <v>1372.6</v>
      </c>
      <c r="M16" s="24"/>
    </row>
    <row r="17" spans="1:13" s="26" customFormat="1">
      <c r="A17" s="46" t="s">
        <v>36</v>
      </c>
      <c r="B17" s="47" t="s">
        <v>35</v>
      </c>
      <c r="C17" s="145">
        <f>C18</f>
        <v>77758</v>
      </c>
      <c r="D17" s="197">
        <f t="shared" ref="D17:G17" si="13">D18</f>
        <v>77758</v>
      </c>
      <c r="E17" s="197">
        <f t="shared" si="13"/>
        <v>40658.9</v>
      </c>
      <c r="F17" s="197">
        <f t="shared" si="13"/>
        <v>36718.9</v>
      </c>
      <c r="G17" s="197">
        <f t="shared" si="13"/>
        <v>39972.9</v>
      </c>
      <c r="H17" s="139">
        <f t="shared" si="1"/>
        <v>0.10100000000000001</v>
      </c>
      <c r="I17" s="141">
        <f t="shared" si="5"/>
        <v>0.98299999999999998</v>
      </c>
      <c r="J17" s="88">
        <f t="shared" si="6"/>
        <v>-37785.1</v>
      </c>
      <c r="K17" s="87">
        <f t="shared" si="3"/>
        <v>0.51400000000000001</v>
      </c>
      <c r="L17" s="115">
        <f t="shared" si="9"/>
        <v>3254</v>
      </c>
      <c r="M17" s="25"/>
    </row>
    <row r="18" spans="1:13" s="21" customFormat="1" ht="54">
      <c r="A18" s="48" t="s">
        <v>33</v>
      </c>
      <c r="B18" s="50" t="s">
        <v>39</v>
      </c>
      <c r="C18" s="148">
        <v>77758</v>
      </c>
      <c r="D18" s="66">
        <v>77758</v>
      </c>
      <c r="E18" s="66">
        <v>40658.9</v>
      </c>
      <c r="F18" s="66">
        <v>36718.9</v>
      </c>
      <c r="G18" s="66">
        <v>39972.9</v>
      </c>
      <c r="H18" s="135">
        <f t="shared" si="1"/>
        <v>0.10100000000000001</v>
      </c>
      <c r="I18" s="141">
        <f t="shared" si="5"/>
        <v>0.98299999999999998</v>
      </c>
      <c r="J18" s="108">
        <f t="shared" si="6"/>
        <v>-37785.1</v>
      </c>
      <c r="K18" s="107">
        <f t="shared" si="3"/>
        <v>0.51400000000000001</v>
      </c>
      <c r="L18" s="115">
        <f t="shared" si="9"/>
        <v>3254</v>
      </c>
      <c r="M18" s="24"/>
    </row>
    <row r="19" spans="1:13" s="26" customFormat="1">
      <c r="A19" s="46" t="s">
        <v>34</v>
      </c>
      <c r="B19" s="47" t="s">
        <v>16</v>
      </c>
      <c r="C19" s="145">
        <f>SUM(C20:C21)</f>
        <v>151544.70000000001</v>
      </c>
      <c r="D19" s="197">
        <f t="shared" ref="D19:G19" si="14">SUM(D20:D21)</f>
        <v>181110.5</v>
      </c>
      <c r="E19" s="197">
        <f t="shared" si="14"/>
        <v>96584.4</v>
      </c>
      <c r="F19" s="197">
        <f t="shared" si="14"/>
        <v>96436.6</v>
      </c>
      <c r="G19" s="197">
        <f t="shared" si="14"/>
        <v>94555.199999999997</v>
      </c>
      <c r="H19" s="139">
        <f t="shared" si="1"/>
        <v>0.23899999999999999</v>
      </c>
      <c r="I19" s="141">
        <f t="shared" si="5"/>
        <v>0.97899999999999998</v>
      </c>
      <c r="J19" s="88">
        <f t="shared" si="6"/>
        <v>-86555.3</v>
      </c>
      <c r="K19" s="87">
        <f t="shared" si="3"/>
        <v>0.52200000000000002</v>
      </c>
      <c r="L19" s="115">
        <f t="shared" si="9"/>
        <v>-1881.4</v>
      </c>
      <c r="M19" s="25"/>
    </row>
    <row r="20" spans="1:13" s="26" customFormat="1" ht="81">
      <c r="A20" s="48" t="s">
        <v>37</v>
      </c>
      <c r="B20" s="50" t="s">
        <v>40</v>
      </c>
      <c r="C20" s="148">
        <v>24000</v>
      </c>
      <c r="D20" s="205">
        <v>27855.8</v>
      </c>
      <c r="E20" s="66">
        <v>25155.8</v>
      </c>
      <c r="F20" s="66">
        <v>15708.1</v>
      </c>
      <c r="G20" s="205">
        <v>24889.4</v>
      </c>
      <c r="H20" s="135">
        <f t="shared" si="1"/>
        <v>6.3E-2</v>
      </c>
      <c r="I20" s="141">
        <f t="shared" si="5"/>
        <v>0.98899999999999999</v>
      </c>
      <c r="J20" s="108">
        <f t="shared" si="6"/>
        <v>-2966.4</v>
      </c>
      <c r="K20" s="107">
        <f t="shared" si="3"/>
        <v>0.89400000000000002</v>
      </c>
      <c r="L20" s="115">
        <f t="shared" si="9"/>
        <v>9181.2999999999993</v>
      </c>
      <c r="M20" s="25"/>
    </row>
    <row r="21" spans="1:13" s="21" customFormat="1" ht="81">
      <c r="A21" s="48" t="s">
        <v>38</v>
      </c>
      <c r="B21" s="50" t="s">
        <v>41</v>
      </c>
      <c r="C21" s="148">
        <v>127544.7</v>
      </c>
      <c r="D21" s="205">
        <v>153254.70000000001</v>
      </c>
      <c r="E21" s="66">
        <v>71428.600000000006</v>
      </c>
      <c r="F21" s="66">
        <v>80728.5</v>
      </c>
      <c r="G21" s="205">
        <v>69665.8</v>
      </c>
      <c r="H21" s="135">
        <f t="shared" si="1"/>
        <v>0.17599999999999999</v>
      </c>
      <c r="I21" s="141">
        <f t="shared" si="5"/>
        <v>0.97499999999999998</v>
      </c>
      <c r="J21" s="108">
        <f t="shared" si="6"/>
        <v>-83588.899999999994</v>
      </c>
      <c r="K21" s="107">
        <f t="shared" si="3"/>
        <v>0.45500000000000002</v>
      </c>
      <c r="L21" s="115">
        <f t="shared" si="9"/>
        <v>-11062.7</v>
      </c>
      <c r="M21" s="24"/>
    </row>
    <row r="22" spans="1:13" s="26" customFormat="1">
      <c r="A22" s="46"/>
      <c r="B22" s="47" t="s">
        <v>17</v>
      </c>
      <c r="C22" s="145">
        <f>C23+C30+C37+C34</f>
        <v>78504.800000000003</v>
      </c>
      <c r="D22" s="197">
        <f>D23+D30+D37+D34</f>
        <v>82926.600000000006</v>
      </c>
      <c r="E22" s="197">
        <f t="shared" ref="E22" si="15">E23+E30+E37+E34</f>
        <v>69824.7</v>
      </c>
      <c r="F22" s="197">
        <f>F23+F30+F37+F34+F28</f>
        <v>86231.3</v>
      </c>
      <c r="G22" s="197">
        <f>G23+G30+G37+G34</f>
        <v>68645.3</v>
      </c>
      <c r="H22" s="139">
        <f t="shared" si="1"/>
        <v>0.17299999999999999</v>
      </c>
      <c r="I22" s="141">
        <f t="shared" si="5"/>
        <v>0.98299999999999998</v>
      </c>
      <c r="J22" s="88">
        <f t="shared" si="6"/>
        <v>-14281.3</v>
      </c>
      <c r="K22" s="87">
        <f t="shared" si="3"/>
        <v>0.82799999999999996</v>
      </c>
      <c r="L22" s="115">
        <f t="shared" si="9"/>
        <v>-17586</v>
      </c>
      <c r="M22" s="25"/>
    </row>
    <row r="23" spans="1:13" s="21" customFormat="1" ht="54">
      <c r="A23" s="46" t="s">
        <v>43</v>
      </c>
      <c r="B23" s="47" t="s">
        <v>1</v>
      </c>
      <c r="C23" s="171">
        <f>SUM(C24:C27)</f>
        <v>69987</v>
      </c>
      <c r="D23" s="197">
        <f t="shared" ref="D23:F23" si="16">SUM(D24:D27)</f>
        <v>74408.800000000003</v>
      </c>
      <c r="E23" s="197">
        <f t="shared" si="16"/>
        <v>61880.1</v>
      </c>
      <c r="F23" s="197">
        <f t="shared" si="16"/>
        <v>64980.7</v>
      </c>
      <c r="G23" s="197">
        <f>SUM(G24:G27)</f>
        <v>60883.9</v>
      </c>
      <c r="H23" s="139">
        <f t="shared" si="1"/>
        <v>0.154</v>
      </c>
      <c r="I23" s="141">
        <f t="shared" si="5"/>
        <v>0.98399999999999999</v>
      </c>
      <c r="J23" s="88">
        <f t="shared" si="6"/>
        <v>-13524.9</v>
      </c>
      <c r="K23" s="87">
        <f t="shared" si="3"/>
        <v>0.81799999999999995</v>
      </c>
      <c r="L23" s="115">
        <f t="shared" si="9"/>
        <v>-4096.8</v>
      </c>
      <c r="M23" s="24"/>
    </row>
    <row r="24" spans="1:13" s="21" customFormat="1" ht="94.5">
      <c r="A24" s="48" t="s">
        <v>141</v>
      </c>
      <c r="B24" s="50" t="s">
        <v>46</v>
      </c>
      <c r="C24" s="148">
        <v>64250</v>
      </c>
      <c r="D24" s="28">
        <v>64250</v>
      </c>
      <c r="E24" s="66">
        <v>57717.5</v>
      </c>
      <c r="F24" s="205">
        <f>57034.3+2620.8</f>
        <v>59655.1</v>
      </c>
      <c r="G24" s="66">
        <v>56761.5</v>
      </c>
      <c r="H24" s="135">
        <f t="shared" si="1"/>
        <v>0.14299999999999999</v>
      </c>
      <c r="I24" s="141">
        <f t="shared" si="5"/>
        <v>0.98299999999999998</v>
      </c>
      <c r="J24" s="108">
        <f t="shared" si="6"/>
        <v>-7488.5</v>
      </c>
      <c r="K24" s="107">
        <f t="shared" si="3"/>
        <v>0.88300000000000001</v>
      </c>
      <c r="L24" s="115">
        <f t="shared" si="9"/>
        <v>-2893.6</v>
      </c>
      <c r="M24" s="24"/>
    </row>
    <row r="25" spans="1:13" s="21" customFormat="1" ht="40.5">
      <c r="A25" s="48" t="s">
        <v>223</v>
      </c>
      <c r="B25" s="50" t="s">
        <v>174</v>
      </c>
      <c r="C25" s="148">
        <v>3786.5</v>
      </c>
      <c r="D25" s="28">
        <v>3786.5</v>
      </c>
      <c r="E25" s="66">
        <v>3039.8</v>
      </c>
      <c r="F25" s="205">
        <f>7+3047.4+56</f>
        <v>3110.4</v>
      </c>
      <c r="G25" s="66">
        <v>3031.2</v>
      </c>
      <c r="H25" s="135">
        <f t="shared" ref="H25" si="17">G25/Всего_доходов_2003</f>
        <v>8.0000000000000002E-3</v>
      </c>
      <c r="I25" s="141">
        <f t="shared" ref="I25" si="18">IF(E25=0,"0,0%",G25/E25)</f>
        <v>0.997</v>
      </c>
      <c r="J25" s="108">
        <f t="shared" ref="J25" si="19">G25-D25</f>
        <v>-755.3</v>
      </c>
      <c r="K25" s="107">
        <f>G25/D25</f>
        <v>0.80100000000000005</v>
      </c>
      <c r="L25" s="115">
        <f t="shared" si="9"/>
        <v>-79.2</v>
      </c>
      <c r="M25" s="24"/>
    </row>
    <row r="26" spans="1:13" s="21" customFormat="1" ht="67.5">
      <c r="A26" s="48" t="s">
        <v>221</v>
      </c>
      <c r="B26" s="50" t="s">
        <v>163</v>
      </c>
      <c r="C26" s="148">
        <v>0</v>
      </c>
      <c r="D26" s="28">
        <v>0</v>
      </c>
      <c r="E26" s="66">
        <v>0</v>
      </c>
      <c r="F26" s="205">
        <v>762.8</v>
      </c>
      <c r="G26" s="66">
        <v>0</v>
      </c>
      <c r="H26" s="135">
        <f t="shared" si="1"/>
        <v>0</v>
      </c>
      <c r="I26" s="141" t="str">
        <f t="shared" si="5"/>
        <v>0,0%</v>
      </c>
      <c r="J26" s="108">
        <f t="shared" si="6"/>
        <v>0</v>
      </c>
      <c r="K26" s="107" t="e">
        <f t="shared" si="3"/>
        <v>#DIV/0!</v>
      </c>
      <c r="L26" s="115">
        <f t="shared" si="9"/>
        <v>-762.8</v>
      </c>
      <c r="M26" s="24"/>
    </row>
    <row r="27" spans="1:13" s="26" customFormat="1" ht="94.5">
      <c r="A27" s="16" t="s">
        <v>222</v>
      </c>
      <c r="B27" s="49" t="s">
        <v>90</v>
      </c>
      <c r="C27" s="149">
        <v>1950.5</v>
      </c>
      <c r="D27" s="28">
        <v>6372.3</v>
      </c>
      <c r="E27" s="40">
        <v>1122.8</v>
      </c>
      <c r="F27" s="211">
        <f>1234.4+218</f>
        <v>1452.4</v>
      </c>
      <c r="G27" s="40">
        <v>1091.2</v>
      </c>
      <c r="H27" s="135">
        <f t="shared" si="1"/>
        <v>3.0000000000000001E-3</v>
      </c>
      <c r="I27" s="141">
        <f t="shared" si="5"/>
        <v>0.97199999999999998</v>
      </c>
      <c r="J27" s="108">
        <f t="shared" si="6"/>
        <v>-5281.1</v>
      </c>
      <c r="K27" s="107">
        <f t="shared" si="3"/>
        <v>0.17100000000000001</v>
      </c>
      <c r="L27" s="115">
        <f t="shared" si="9"/>
        <v>-361.2</v>
      </c>
      <c r="M27" s="25"/>
    </row>
    <row r="28" spans="1:13" s="26" customFormat="1" ht="40.5">
      <c r="A28" s="54" t="s">
        <v>218</v>
      </c>
      <c r="B28" s="55" t="s">
        <v>219</v>
      </c>
      <c r="C28" s="192">
        <f>C29</f>
        <v>0</v>
      </c>
      <c r="D28" s="198">
        <f t="shared" ref="D28:F28" si="20">D29</f>
        <v>0</v>
      </c>
      <c r="E28" s="198">
        <f t="shared" si="20"/>
        <v>0</v>
      </c>
      <c r="F28" s="212">
        <f t="shared" si="20"/>
        <v>48.6</v>
      </c>
      <c r="G28" s="198">
        <f>G29</f>
        <v>19.5</v>
      </c>
      <c r="H28" s="139">
        <f t="shared" si="1"/>
        <v>0</v>
      </c>
      <c r="I28" s="141" t="str">
        <f t="shared" si="5"/>
        <v>0,0%</v>
      </c>
      <c r="J28" s="88">
        <f t="shared" si="6"/>
        <v>19.5</v>
      </c>
      <c r="K28" s="87"/>
      <c r="L28" s="115">
        <f t="shared" si="9"/>
        <v>-29.1</v>
      </c>
      <c r="M28" s="25"/>
    </row>
    <row r="29" spans="1:13" s="26" customFormat="1" ht="27">
      <c r="A29" s="188" t="s">
        <v>220</v>
      </c>
      <c r="B29" s="189" t="s">
        <v>230</v>
      </c>
      <c r="C29" s="190"/>
      <c r="D29" s="199"/>
      <c r="E29" s="191"/>
      <c r="F29" s="213">
        <v>48.6</v>
      </c>
      <c r="G29" s="191">
        <v>19.5</v>
      </c>
      <c r="H29" s="135">
        <f t="shared" si="1"/>
        <v>0</v>
      </c>
      <c r="I29" s="141" t="str">
        <f t="shared" si="5"/>
        <v>0,0%</v>
      </c>
      <c r="J29" s="108">
        <f t="shared" si="6"/>
        <v>19.5</v>
      </c>
      <c r="K29" s="107"/>
      <c r="L29" s="115">
        <f t="shared" si="9"/>
        <v>-29.1</v>
      </c>
      <c r="M29" s="25"/>
    </row>
    <row r="30" spans="1:13" s="21" customFormat="1" ht="27">
      <c r="A30" s="54" t="s">
        <v>42</v>
      </c>
      <c r="B30" s="55" t="s">
        <v>2</v>
      </c>
      <c r="C30" s="150">
        <f>SUM(C31:C33)</f>
        <v>8497.7999999999993</v>
      </c>
      <c r="D30" s="200">
        <f t="shared" ref="D30:G30" si="21">SUM(D31:D33)</f>
        <v>8497.7999999999993</v>
      </c>
      <c r="E30" s="200">
        <f t="shared" si="21"/>
        <v>7929.6</v>
      </c>
      <c r="F30" s="214">
        <f t="shared" si="21"/>
        <v>20633.900000000001</v>
      </c>
      <c r="G30" s="200">
        <f t="shared" si="21"/>
        <v>7916</v>
      </c>
      <c r="H30" s="139">
        <f t="shared" si="1"/>
        <v>0.02</v>
      </c>
      <c r="I30" s="141">
        <f t="shared" si="5"/>
        <v>0.998</v>
      </c>
      <c r="J30" s="88">
        <f t="shared" si="6"/>
        <v>-581.79999999999995</v>
      </c>
      <c r="K30" s="87">
        <f t="shared" si="3"/>
        <v>0.93200000000000005</v>
      </c>
      <c r="L30" s="115">
        <f t="shared" si="9"/>
        <v>-12717.9</v>
      </c>
      <c r="M30" s="24"/>
    </row>
    <row r="31" spans="1:13" s="21" customFormat="1" ht="108">
      <c r="A31" s="16" t="s">
        <v>142</v>
      </c>
      <c r="B31" s="49" t="s">
        <v>132</v>
      </c>
      <c r="C31" s="149">
        <v>2272.8000000000002</v>
      </c>
      <c r="D31" s="28">
        <v>2272.8000000000002</v>
      </c>
      <c r="E31" s="40">
        <v>1704.6</v>
      </c>
      <c r="F31" s="211">
        <f>2739.2+124.2</f>
        <v>2863.4</v>
      </c>
      <c r="G31" s="40">
        <v>1647.4</v>
      </c>
      <c r="H31" s="135">
        <f t="shared" si="1"/>
        <v>4.0000000000000001E-3</v>
      </c>
      <c r="I31" s="141">
        <f t="shared" si="5"/>
        <v>0.96599999999999997</v>
      </c>
      <c r="J31" s="108">
        <f t="shared" si="6"/>
        <v>-625.4</v>
      </c>
      <c r="K31" s="107">
        <f t="shared" si="3"/>
        <v>0.72499999999999998</v>
      </c>
      <c r="L31" s="115">
        <f t="shared" si="9"/>
        <v>-1216</v>
      </c>
      <c r="M31" s="24"/>
    </row>
    <row r="32" spans="1:13" s="21" customFormat="1" ht="54">
      <c r="A32" s="16" t="s">
        <v>143</v>
      </c>
      <c r="B32" s="49" t="s">
        <v>47</v>
      </c>
      <c r="C32" s="149">
        <v>6225</v>
      </c>
      <c r="D32" s="28">
        <v>6225</v>
      </c>
      <c r="E32" s="40">
        <v>6225</v>
      </c>
      <c r="F32" s="211">
        <f>6208.1+201.4</f>
        <v>6409.5</v>
      </c>
      <c r="G32" s="40">
        <v>6268.6</v>
      </c>
      <c r="H32" s="135">
        <f t="shared" si="1"/>
        <v>1.6E-2</v>
      </c>
      <c r="I32" s="141">
        <f t="shared" si="5"/>
        <v>1.0069999999999999</v>
      </c>
      <c r="J32" s="108">
        <f t="shared" si="6"/>
        <v>43.6</v>
      </c>
      <c r="K32" s="107">
        <f t="shared" si="3"/>
        <v>1.0069999999999999</v>
      </c>
      <c r="L32" s="115">
        <f t="shared" si="9"/>
        <v>-140.9</v>
      </c>
      <c r="M32" s="24"/>
    </row>
    <row r="33" spans="1:13" s="21" customFormat="1" ht="67.5">
      <c r="A33" s="16" t="s">
        <v>170</v>
      </c>
      <c r="B33" s="49" t="s">
        <v>171</v>
      </c>
      <c r="C33" s="149">
        <v>0</v>
      </c>
      <c r="D33" s="28">
        <v>0</v>
      </c>
      <c r="E33" s="40">
        <v>0</v>
      </c>
      <c r="F33" s="211">
        <v>11361</v>
      </c>
      <c r="G33" s="40">
        <v>0</v>
      </c>
      <c r="H33" s="135">
        <f t="shared" ref="H33" si="22">G33/Всего_доходов_2003</f>
        <v>0</v>
      </c>
      <c r="I33" s="141" t="str">
        <f t="shared" ref="I33" si="23">IF(E33=0,"0,0%",G33/E33)</f>
        <v>0,0%</v>
      </c>
      <c r="J33" s="108">
        <f t="shared" ref="J33" si="24">G33-D33</f>
        <v>0</v>
      </c>
      <c r="K33" s="107">
        <v>0</v>
      </c>
      <c r="L33" s="115">
        <f t="shared" si="9"/>
        <v>-11361</v>
      </c>
      <c r="M33" s="24"/>
    </row>
    <row r="34" spans="1:13" s="21" customFormat="1" ht="27">
      <c r="A34" s="51" t="s">
        <v>166</v>
      </c>
      <c r="B34" s="52" t="s">
        <v>167</v>
      </c>
      <c r="C34" s="151">
        <f>SUM(C35:C36)</f>
        <v>20</v>
      </c>
      <c r="D34" s="65">
        <f t="shared" ref="D34:G34" si="25">SUM(D35:D36)</f>
        <v>20</v>
      </c>
      <c r="E34" s="65">
        <f t="shared" si="25"/>
        <v>15</v>
      </c>
      <c r="F34" s="215">
        <f t="shared" si="25"/>
        <v>568.1</v>
      </c>
      <c r="G34" s="65">
        <f t="shared" si="25"/>
        <v>-146</v>
      </c>
      <c r="H34" s="139">
        <f t="shared" si="1"/>
        <v>0</v>
      </c>
      <c r="I34" s="141">
        <f t="shared" si="5"/>
        <v>-9.7330000000000005</v>
      </c>
      <c r="J34" s="88">
        <f t="shared" ref="J34:J35" si="26">G34-D34</f>
        <v>-166</v>
      </c>
      <c r="K34" s="87">
        <f t="shared" ref="K34:K35" si="27">G34/D34</f>
        <v>-7.3</v>
      </c>
      <c r="L34" s="115">
        <f t="shared" si="9"/>
        <v>-714.1</v>
      </c>
      <c r="M34" s="24"/>
    </row>
    <row r="35" spans="1:13" s="21" customFormat="1" ht="54">
      <c r="A35" s="16" t="s">
        <v>168</v>
      </c>
      <c r="B35" s="49" t="s">
        <v>169</v>
      </c>
      <c r="C35" s="149">
        <v>10</v>
      </c>
      <c r="D35" s="28">
        <v>10</v>
      </c>
      <c r="E35" s="40">
        <v>7.5</v>
      </c>
      <c r="F35" s="211">
        <v>0</v>
      </c>
      <c r="G35" s="40">
        <v>0</v>
      </c>
      <c r="H35" s="135">
        <f t="shared" si="1"/>
        <v>0</v>
      </c>
      <c r="I35" s="141">
        <f t="shared" si="5"/>
        <v>0</v>
      </c>
      <c r="J35" s="108">
        <f t="shared" si="26"/>
        <v>-10</v>
      </c>
      <c r="K35" s="107">
        <f t="shared" si="27"/>
        <v>0</v>
      </c>
      <c r="L35" s="115">
        <f t="shared" si="9"/>
        <v>0</v>
      </c>
      <c r="M35" s="24"/>
    </row>
    <row r="36" spans="1:13" s="21" customFormat="1" ht="54">
      <c r="A36" s="16" t="s">
        <v>200</v>
      </c>
      <c r="B36" s="49" t="s">
        <v>201</v>
      </c>
      <c r="C36" s="149">
        <v>10</v>
      </c>
      <c r="D36" s="28">
        <v>10</v>
      </c>
      <c r="E36" s="40">
        <v>7.5</v>
      </c>
      <c r="F36" s="211">
        <f>546.1+22</f>
        <v>568.1</v>
      </c>
      <c r="G36" s="40">
        <v>-146</v>
      </c>
      <c r="H36" s="135">
        <f t="shared" ref="H36" si="28">G36/Всего_доходов_2003</f>
        <v>0</v>
      </c>
      <c r="I36" s="141">
        <f t="shared" ref="I36" si="29">IF(E36=0,"0,0%",G36/E36)</f>
        <v>-19.466999999999999</v>
      </c>
      <c r="J36" s="108">
        <f t="shared" ref="J36" si="30">G36-D36</f>
        <v>-156</v>
      </c>
      <c r="K36" s="107">
        <f t="shared" ref="K36" si="31">G36/D36</f>
        <v>-14.6</v>
      </c>
      <c r="L36" s="115">
        <f t="shared" si="9"/>
        <v>-714.1</v>
      </c>
      <c r="M36" s="24"/>
    </row>
    <row r="37" spans="1:13" s="21" customFormat="1">
      <c r="A37" s="51" t="s">
        <v>3</v>
      </c>
      <c r="B37" s="52" t="s">
        <v>5</v>
      </c>
      <c r="C37" s="151">
        <f>SUM(C38)</f>
        <v>0</v>
      </c>
      <c r="D37" s="65">
        <f>SUM(D38)</f>
        <v>0</v>
      </c>
      <c r="E37" s="65">
        <f>SUM(E38)</f>
        <v>0</v>
      </c>
      <c r="F37" s="215">
        <f>SUM(F38)</f>
        <v>0</v>
      </c>
      <c r="G37" s="65">
        <f>SUM(G38)</f>
        <v>-8.6</v>
      </c>
      <c r="H37" s="143">
        <f t="shared" ref="H37:H38" si="32">G37-E37</f>
        <v>-8.6</v>
      </c>
      <c r="I37" s="141" t="str">
        <f t="shared" si="5"/>
        <v>0,0%</v>
      </c>
      <c r="J37" s="88">
        <f t="shared" si="6"/>
        <v>-8.6</v>
      </c>
      <c r="K37" s="107">
        <v>0</v>
      </c>
      <c r="L37" s="115">
        <f t="shared" si="9"/>
        <v>-8.6</v>
      </c>
      <c r="M37" s="24"/>
    </row>
    <row r="38" spans="1:13" s="21" customFormat="1" ht="27">
      <c r="A38" s="16" t="s">
        <v>202</v>
      </c>
      <c r="B38" s="49" t="s">
        <v>55</v>
      </c>
      <c r="C38" s="149">
        <v>0</v>
      </c>
      <c r="D38" s="28">
        <v>0</v>
      </c>
      <c r="E38" s="40">
        <v>0</v>
      </c>
      <c r="F38" s="211">
        <v>0</v>
      </c>
      <c r="G38" s="40">
        <v>-8.6</v>
      </c>
      <c r="H38" s="142">
        <f t="shared" si="32"/>
        <v>-8.6</v>
      </c>
      <c r="I38" s="141" t="str">
        <f t="shared" si="5"/>
        <v>0,0%</v>
      </c>
      <c r="J38" s="108">
        <f t="shared" si="6"/>
        <v>-8.6</v>
      </c>
      <c r="K38" s="107">
        <v>0</v>
      </c>
      <c r="L38" s="115">
        <f t="shared" si="9"/>
        <v>-8.6</v>
      </c>
      <c r="M38" s="24"/>
    </row>
    <row r="39" spans="1:13" s="21" customFormat="1">
      <c r="A39" s="51" t="s">
        <v>44</v>
      </c>
      <c r="B39" s="56" t="s">
        <v>4</v>
      </c>
      <c r="C39" s="151">
        <f>SUM(C40,C42,C50,C46)</f>
        <v>9027.7000000000007</v>
      </c>
      <c r="D39" s="65">
        <f>SUM(D40,D42,D50,D48,D46)</f>
        <v>9152.9</v>
      </c>
      <c r="E39" s="65">
        <f>SUM(E40,E42,E50,E46,E48)</f>
        <v>6895.9</v>
      </c>
      <c r="F39" s="215">
        <f>SUM(F40,F42,F50,F46,F45)</f>
        <v>83265.600000000006</v>
      </c>
      <c r="G39" s="65">
        <f>SUM(G40,G42,G50,G46,G48)</f>
        <v>6895.9</v>
      </c>
      <c r="H39" s="139">
        <f t="shared" ref="H39:H51" si="33">G39/Всего_доходов_2003</f>
        <v>1.7000000000000001E-2</v>
      </c>
      <c r="I39" s="141">
        <f t="shared" si="5"/>
        <v>1</v>
      </c>
      <c r="J39" s="88">
        <f t="shared" si="6"/>
        <v>-2257</v>
      </c>
      <c r="K39" s="87">
        <f t="shared" si="3"/>
        <v>0.753</v>
      </c>
      <c r="L39" s="115">
        <f t="shared" si="9"/>
        <v>-76369.7</v>
      </c>
      <c r="M39" s="24"/>
    </row>
    <row r="40" spans="1:13" s="21" customFormat="1" ht="27">
      <c r="A40" s="57" t="s">
        <v>45</v>
      </c>
      <c r="B40" s="58" t="s">
        <v>50</v>
      </c>
      <c r="C40" s="151">
        <f>C41</f>
        <v>9027.7000000000007</v>
      </c>
      <c r="D40" s="65">
        <f t="shared" ref="D40:E40" si="34">D41</f>
        <v>9027.7000000000007</v>
      </c>
      <c r="E40" s="65">
        <f t="shared" si="34"/>
        <v>6770.7</v>
      </c>
      <c r="F40" s="215">
        <f>F41</f>
        <v>7971.3</v>
      </c>
      <c r="G40" s="65">
        <f>G41</f>
        <v>6770.7</v>
      </c>
      <c r="H40" s="139">
        <f t="shared" si="33"/>
        <v>1.7000000000000001E-2</v>
      </c>
      <c r="I40" s="141">
        <f t="shared" si="5"/>
        <v>1</v>
      </c>
      <c r="J40" s="88">
        <f t="shared" si="6"/>
        <v>-2257</v>
      </c>
      <c r="K40" s="87">
        <f t="shared" si="3"/>
        <v>0.75</v>
      </c>
      <c r="L40" s="115">
        <f t="shared" si="9"/>
        <v>-1200.5999999999999</v>
      </c>
      <c r="M40" s="24"/>
    </row>
    <row r="41" spans="1:13" s="21" customFormat="1" ht="67.5">
      <c r="A41" s="59" t="s">
        <v>75</v>
      </c>
      <c r="B41" s="60" t="s">
        <v>56</v>
      </c>
      <c r="C41" s="149">
        <v>9027.7000000000007</v>
      </c>
      <c r="D41" s="40">
        <v>9027.7000000000007</v>
      </c>
      <c r="E41" s="40">
        <v>6770.7</v>
      </c>
      <c r="F41" s="211">
        <f>5329.8+2641.5</f>
        <v>7971.3</v>
      </c>
      <c r="G41" s="40">
        <v>6770.7</v>
      </c>
      <c r="H41" s="135">
        <f t="shared" si="33"/>
        <v>1.7000000000000001E-2</v>
      </c>
      <c r="I41" s="141">
        <f t="shared" si="5"/>
        <v>1</v>
      </c>
      <c r="J41" s="108">
        <f t="shared" si="6"/>
        <v>-2257</v>
      </c>
      <c r="K41" s="107">
        <f t="shared" si="3"/>
        <v>0.75</v>
      </c>
      <c r="L41" s="115">
        <f t="shared" si="9"/>
        <v>-1200.5999999999999</v>
      </c>
      <c r="M41" s="24"/>
    </row>
    <row r="42" spans="1:13" s="21" customFormat="1" ht="40.5">
      <c r="A42" s="61" t="s">
        <v>133</v>
      </c>
      <c r="B42" s="56" t="s">
        <v>134</v>
      </c>
      <c r="C42" s="151">
        <f>C43+C44</f>
        <v>0</v>
      </c>
      <c r="D42" s="65">
        <f>D43+D44</f>
        <v>0</v>
      </c>
      <c r="E42" s="65">
        <f>E43+E44</f>
        <v>0</v>
      </c>
      <c r="F42" s="215">
        <f>F43+F44</f>
        <v>50460.6</v>
      </c>
      <c r="G42" s="65">
        <f>G43+G44</f>
        <v>0</v>
      </c>
      <c r="H42" s="139">
        <f t="shared" si="33"/>
        <v>0</v>
      </c>
      <c r="I42" s="141" t="str">
        <f t="shared" si="5"/>
        <v>0,0%</v>
      </c>
      <c r="J42" s="87">
        <f t="shared" ref="J42:J51" si="35">G42/Всего_доходов_2003</f>
        <v>0</v>
      </c>
      <c r="K42" s="88">
        <f>G42-D42</f>
        <v>0</v>
      </c>
      <c r="L42" s="115">
        <f t="shared" si="9"/>
        <v>-50460.6</v>
      </c>
      <c r="M42" s="24"/>
    </row>
    <row r="43" spans="1:13" s="26" customFormat="1" ht="81">
      <c r="A43" s="130" t="s">
        <v>152</v>
      </c>
      <c r="B43" s="129" t="s">
        <v>150</v>
      </c>
      <c r="C43" s="149">
        <v>0</v>
      </c>
      <c r="D43" s="40">
        <v>0</v>
      </c>
      <c r="E43" s="40">
        <v>0</v>
      </c>
      <c r="F43" s="211">
        <v>24055.599999999999</v>
      </c>
      <c r="G43" s="40">
        <v>0</v>
      </c>
      <c r="H43" s="135">
        <f t="shared" si="33"/>
        <v>0</v>
      </c>
      <c r="I43" s="141" t="str">
        <f t="shared" si="5"/>
        <v>0,0%</v>
      </c>
      <c r="J43" s="108">
        <f>G43-D43</f>
        <v>0</v>
      </c>
      <c r="K43" s="107">
        <v>0</v>
      </c>
      <c r="L43" s="115">
        <f t="shared" si="9"/>
        <v>-24055.599999999999</v>
      </c>
    </row>
    <row r="44" spans="1:13" s="26" customFormat="1" ht="54">
      <c r="A44" s="130" t="s">
        <v>153</v>
      </c>
      <c r="B44" s="129" t="s">
        <v>151</v>
      </c>
      <c r="C44" s="149">
        <v>0</v>
      </c>
      <c r="D44" s="40">
        <v>0</v>
      </c>
      <c r="E44" s="40">
        <v>0</v>
      </c>
      <c r="F44" s="211">
        <v>26405</v>
      </c>
      <c r="G44" s="40">
        <v>0</v>
      </c>
      <c r="H44" s="135">
        <f t="shared" si="33"/>
        <v>0</v>
      </c>
      <c r="I44" s="141" t="str">
        <f>IF(E44=0,"0,0%",G44/E44)</f>
        <v>0,0%</v>
      </c>
      <c r="J44" s="108">
        <f>G44-D44</f>
        <v>0</v>
      </c>
      <c r="K44" s="107">
        <v>0</v>
      </c>
      <c r="L44" s="115">
        <f t="shared" si="9"/>
        <v>-26405</v>
      </c>
    </row>
    <row r="45" spans="1:13" s="26" customFormat="1" ht="27">
      <c r="A45" s="172" t="s">
        <v>225</v>
      </c>
      <c r="B45" s="173" t="s">
        <v>224</v>
      </c>
      <c r="C45" s="152">
        <v>0</v>
      </c>
      <c r="D45" s="73">
        <v>0</v>
      </c>
      <c r="E45" s="73">
        <v>0</v>
      </c>
      <c r="F45" s="216">
        <v>425.6</v>
      </c>
      <c r="G45" s="73">
        <v>0</v>
      </c>
      <c r="H45" s="139">
        <f>G45/Всего_доходов_2003</f>
        <v>0</v>
      </c>
      <c r="I45" s="141" t="str">
        <f>IF(E45=0,"0,0%",G45/E45)</f>
        <v>0,0%</v>
      </c>
      <c r="J45" s="88">
        <f>G45-D45</f>
        <v>0</v>
      </c>
      <c r="K45" s="87">
        <v>0</v>
      </c>
      <c r="L45" s="115">
        <f t="shared" si="9"/>
        <v>-425.6</v>
      </c>
    </row>
    <row r="46" spans="1:13" s="26" customFormat="1">
      <c r="A46" s="172" t="s">
        <v>178</v>
      </c>
      <c r="B46" s="173" t="s">
        <v>177</v>
      </c>
      <c r="C46" s="152">
        <f>C47</f>
        <v>0</v>
      </c>
      <c r="D46" s="73">
        <f>D47</f>
        <v>0</v>
      </c>
      <c r="E46" s="73">
        <f>E47</f>
        <v>0</v>
      </c>
      <c r="F46" s="216">
        <f>F47</f>
        <v>24442</v>
      </c>
      <c r="G46" s="73">
        <f>G47</f>
        <v>0</v>
      </c>
      <c r="H46" s="139">
        <f t="shared" ref="H46:H49" si="36">G46/Всего_доходов_2003</f>
        <v>0</v>
      </c>
      <c r="I46" s="141" t="str">
        <f t="shared" ref="I46:I49" si="37">IF(E46=0,"0,0%",G46/E46)</f>
        <v>0,0%</v>
      </c>
      <c r="J46" s="87">
        <f t="shared" ref="J46:J49" si="38">G46/Всего_доходов_2003</f>
        <v>0</v>
      </c>
      <c r="K46" s="88">
        <f t="shared" ref="K46:K51" si="39">G46-D46</f>
        <v>0</v>
      </c>
      <c r="L46" s="115">
        <f t="shared" si="9"/>
        <v>-24442</v>
      </c>
    </row>
    <row r="47" spans="1:13" s="26" customFormat="1" ht="40.5">
      <c r="A47" s="130" t="s">
        <v>175</v>
      </c>
      <c r="B47" s="129" t="s">
        <v>176</v>
      </c>
      <c r="C47" s="149">
        <v>0</v>
      </c>
      <c r="D47" s="40">
        <v>0</v>
      </c>
      <c r="E47" s="40">
        <v>0</v>
      </c>
      <c r="F47" s="211">
        <f>10500+13942</f>
        <v>24442</v>
      </c>
      <c r="G47" s="40">
        <v>0</v>
      </c>
      <c r="H47" s="135">
        <f t="shared" si="36"/>
        <v>0</v>
      </c>
      <c r="I47" s="141" t="str">
        <f t="shared" si="37"/>
        <v>0,0%</v>
      </c>
      <c r="J47" s="107">
        <f t="shared" si="38"/>
        <v>0</v>
      </c>
      <c r="K47" s="108">
        <f t="shared" si="39"/>
        <v>0</v>
      </c>
      <c r="L47" s="115">
        <f t="shared" si="9"/>
        <v>-24442</v>
      </c>
    </row>
    <row r="48" spans="1:13" s="21" customFormat="1" ht="108">
      <c r="A48" s="61" t="s">
        <v>208</v>
      </c>
      <c r="B48" s="56" t="s">
        <v>207</v>
      </c>
      <c r="C48" s="152">
        <f>C49</f>
        <v>0</v>
      </c>
      <c r="D48" s="73">
        <f>D49</f>
        <v>208.3</v>
      </c>
      <c r="E48" s="73">
        <f>E49</f>
        <v>208.3</v>
      </c>
      <c r="F48" s="216">
        <f>F49</f>
        <v>0</v>
      </c>
      <c r="G48" s="73">
        <f>G49</f>
        <v>208.3</v>
      </c>
      <c r="H48" s="139">
        <f t="shared" si="36"/>
        <v>1E-3</v>
      </c>
      <c r="I48" s="141">
        <f t="shared" si="37"/>
        <v>1</v>
      </c>
      <c r="J48" s="87">
        <f t="shared" si="38"/>
        <v>1E-3</v>
      </c>
      <c r="K48" s="88">
        <f t="shared" si="39"/>
        <v>0</v>
      </c>
      <c r="L48" s="115">
        <f t="shared" ref="L48:L49" si="40">G48-F48</f>
        <v>208.3</v>
      </c>
      <c r="M48" s="24"/>
    </row>
    <row r="49" spans="1:13" s="21" customFormat="1" ht="67.5">
      <c r="A49" s="59" t="s">
        <v>209</v>
      </c>
      <c r="B49" s="60" t="s">
        <v>210</v>
      </c>
      <c r="C49" s="149">
        <v>0</v>
      </c>
      <c r="D49" s="40">
        <v>208.3</v>
      </c>
      <c r="E49" s="40">
        <v>208.3</v>
      </c>
      <c r="F49" s="211">
        <v>0</v>
      </c>
      <c r="G49" s="40">
        <v>208.3</v>
      </c>
      <c r="H49" s="135">
        <f t="shared" si="36"/>
        <v>1E-3</v>
      </c>
      <c r="I49" s="141">
        <f t="shared" si="37"/>
        <v>1</v>
      </c>
      <c r="J49" s="107">
        <f t="shared" si="38"/>
        <v>1E-3</v>
      </c>
      <c r="K49" s="108">
        <f t="shared" si="39"/>
        <v>0</v>
      </c>
      <c r="L49" s="115">
        <f t="shared" si="40"/>
        <v>208.3</v>
      </c>
      <c r="M49" s="24"/>
    </row>
    <row r="50" spans="1:13" s="21" customFormat="1" ht="40.5">
      <c r="A50" s="61" t="s">
        <v>135</v>
      </c>
      <c r="B50" s="56" t="s">
        <v>136</v>
      </c>
      <c r="C50" s="152">
        <f>C51</f>
        <v>0</v>
      </c>
      <c r="D50" s="73">
        <f>D51</f>
        <v>-83.1</v>
      </c>
      <c r="E50" s="73">
        <f>E51</f>
        <v>-83.1</v>
      </c>
      <c r="F50" s="216">
        <f>F51</f>
        <v>-33.9</v>
      </c>
      <c r="G50" s="73">
        <f>G51</f>
        <v>-83.1</v>
      </c>
      <c r="H50" s="139">
        <f t="shared" si="33"/>
        <v>0</v>
      </c>
      <c r="I50" s="141">
        <f t="shared" si="5"/>
        <v>1</v>
      </c>
      <c r="J50" s="87">
        <f t="shared" si="35"/>
        <v>0</v>
      </c>
      <c r="K50" s="88">
        <f t="shared" si="39"/>
        <v>0</v>
      </c>
      <c r="L50" s="115">
        <f t="shared" si="9"/>
        <v>-49.2</v>
      </c>
      <c r="M50" s="24"/>
    </row>
    <row r="51" spans="1:13" s="21" customFormat="1" ht="54">
      <c r="A51" s="59" t="s">
        <v>211</v>
      </c>
      <c r="B51" s="60" t="s">
        <v>74</v>
      </c>
      <c r="C51" s="149">
        <v>0</v>
      </c>
      <c r="D51" s="40">
        <v>-83.1</v>
      </c>
      <c r="E51" s="40">
        <v>-83.1</v>
      </c>
      <c r="F51" s="211">
        <v>-33.9</v>
      </c>
      <c r="G51" s="40">
        <v>-83.1</v>
      </c>
      <c r="H51" s="135">
        <f t="shared" si="33"/>
        <v>0</v>
      </c>
      <c r="I51" s="141">
        <f t="shared" si="5"/>
        <v>1</v>
      </c>
      <c r="J51" s="107">
        <f t="shared" si="35"/>
        <v>0</v>
      </c>
      <c r="K51" s="108">
        <f t="shared" si="39"/>
        <v>0</v>
      </c>
      <c r="L51" s="115">
        <f t="shared" si="9"/>
        <v>-49.2</v>
      </c>
      <c r="M51" s="24"/>
    </row>
    <row r="52" spans="1:13" s="27" customFormat="1">
      <c r="A52" s="136"/>
      <c r="B52" s="137" t="s">
        <v>6</v>
      </c>
      <c r="C52" s="138">
        <f>C6+C39</f>
        <v>599541.4</v>
      </c>
      <c r="D52" s="184">
        <f>D6+D39</f>
        <v>689546.4</v>
      </c>
      <c r="E52" s="138">
        <f>E6+E39</f>
        <v>404077.4</v>
      </c>
      <c r="F52" s="184">
        <f>F6+F39</f>
        <v>467340.7</v>
      </c>
      <c r="G52" s="184">
        <f>G6+G39</f>
        <v>396215.1</v>
      </c>
      <c r="H52" s="87">
        <f t="shared" ref="H52" si="41">G52/Всего_доходов_2003</f>
        <v>1</v>
      </c>
      <c r="I52" s="141">
        <f t="shared" si="5"/>
        <v>0.98099999999999998</v>
      </c>
      <c r="J52" s="88">
        <f t="shared" ref="J52" si="42">G52-D52</f>
        <v>-293331.3</v>
      </c>
      <c r="K52" s="87">
        <f>G52/D52</f>
        <v>0.57499999999999996</v>
      </c>
      <c r="L52" s="115">
        <f t="shared" si="9"/>
        <v>-71125.600000000006</v>
      </c>
    </row>
    <row r="53" spans="1:13" s="13" customFormat="1">
      <c r="A53" s="45"/>
      <c r="B53" s="4"/>
      <c r="C53" s="4"/>
      <c r="D53" s="201"/>
      <c r="E53" s="5"/>
      <c r="F53" s="5"/>
      <c r="G53" s="5"/>
      <c r="H53" s="62"/>
      <c r="I53" s="62"/>
      <c r="J53" s="63"/>
      <c r="K53" s="64"/>
      <c r="L53" s="5"/>
    </row>
    <row r="54" spans="1:13" ht="16.5">
      <c r="A54" s="18" t="s">
        <v>10</v>
      </c>
      <c r="B54" s="153" t="s">
        <v>7</v>
      </c>
      <c r="C54" s="4"/>
      <c r="D54" s="201"/>
      <c r="E54" s="7"/>
      <c r="F54" s="7"/>
      <c r="G54" s="7"/>
      <c r="H54" s="74"/>
      <c r="I54" s="74"/>
      <c r="J54" s="75"/>
      <c r="K54" s="74"/>
      <c r="L54" s="7"/>
    </row>
    <row r="55" spans="1:13" s="27" customFormat="1">
      <c r="A55" s="84" t="s">
        <v>21</v>
      </c>
      <c r="B55" s="85" t="s">
        <v>25</v>
      </c>
      <c r="C55" s="86">
        <f>C56+C57+C58+C61+C64+C65+C66</f>
        <v>29585.5</v>
      </c>
      <c r="D55" s="183">
        <f>D56+D57+D58+D61+D64+D65+D66</f>
        <v>29536</v>
      </c>
      <c r="E55" s="183">
        <f>E56+E57+E58+E61+E64+E65+E66</f>
        <v>14904.4</v>
      </c>
      <c r="F55" s="86">
        <f>F56+F57+F58+F61+F64+F65+F66</f>
        <v>69784.2</v>
      </c>
      <c r="G55" s="183">
        <f>G56+G57+G58+G61+G64+G65+G66</f>
        <v>14880.6</v>
      </c>
      <c r="H55" s="87">
        <f>G55/G161</f>
        <v>3.5000000000000003E-2</v>
      </c>
      <c r="I55" s="141">
        <f>IF(E55=0,"0,0%",G55/E55)</f>
        <v>0.998</v>
      </c>
      <c r="J55" s="88">
        <f>G55-D55</f>
        <v>-14655.4</v>
      </c>
      <c r="K55" s="87">
        <f>G55/D55</f>
        <v>0.504</v>
      </c>
      <c r="L55" s="89">
        <f>G55-F55</f>
        <v>-54903.6</v>
      </c>
    </row>
    <row r="56" spans="1:13" ht="40.5">
      <c r="A56" s="17" t="s">
        <v>52</v>
      </c>
      <c r="B56" s="10" t="s">
        <v>61</v>
      </c>
      <c r="C56" s="119">
        <v>1683.9</v>
      </c>
      <c r="D56" s="29">
        <v>1683.9</v>
      </c>
      <c r="E56" s="7">
        <v>1230.0999999999999</v>
      </c>
      <c r="F56" s="7">
        <v>1642.1</v>
      </c>
      <c r="G56" s="7">
        <v>1229.7</v>
      </c>
      <c r="H56" s="98">
        <f>G56/$G$161</f>
        <v>3.0000000000000001E-3</v>
      </c>
      <c r="I56" s="141">
        <f>IF(E56=0,"0,0%",G56/E56)</f>
        <v>1</v>
      </c>
      <c r="J56" s="99">
        <f t="shared" ref="J56:J134" si="43">G56-D56</f>
        <v>-454.2</v>
      </c>
      <c r="K56" s="98">
        <f t="shared" ref="K56:K134" si="44">G56/D56</f>
        <v>0.73</v>
      </c>
      <c r="L56" s="128">
        <f>G56-F56</f>
        <v>-412.4</v>
      </c>
    </row>
    <row r="57" spans="1:13" ht="54">
      <c r="A57" s="17" t="s">
        <v>53</v>
      </c>
      <c r="B57" s="10" t="s">
        <v>137</v>
      </c>
      <c r="C57" s="119">
        <v>14684.2</v>
      </c>
      <c r="D57" s="29">
        <v>14684</v>
      </c>
      <c r="E57" s="7">
        <v>7853.6</v>
      </c>
      <c r="F57" s="7">
        <v>5462.7</v>
      </c>
      <c r="G57" s="7">
        <v>7851.9</v>
      </c>
      <c r="H57" s="98">
        <f>G57/$G$161</f>
        <v>1.9E-2</v>
      </c>
      <c r="I57" s="141">
        <f>IF(E57=0,"0,0%",G57/E57)</f>
        <v>1</v>
      </c>
      <c r="J57" s="99">
        <f t="shared" si="43"/>
        <v>-6832.1</v>
      </c>
      <c r="K57" s="98">
        <f t="shared" si="44"/>
        <v>0.53500000000000003</v>
      </c>
      <c r="L57" s="128">
        <f>G57-F57</f>
        <v>2389.1999999999998</v>
      </c>
    </row>
    <row r="58" spans="1:13" ht="54">
      <c r="A58" s="17" t="s">
        <v>180</v>
      </c>
      <c r="B58" s="10" t="s">
        <v>138</v>
      </c>
      <c r="C58" s="119">
        <v>4986.2</v>
      </c>
      <c r="D58" s="29">
        <v>5233.5</v>
      </c>
      <c r="E58" s="7">
        <v>4433.3999999999996</v>
      </c>
      <c r="F58" s="7">
        <f>28311.6+9952.6</f>
        <v>38264.199999999997</v>
      </c>
      <c r="G58" s="7">
        <v>4412.2</v>
      </c>
      <c r="H58" s="98">
        <f>G58/$G$161</f>
        <v>1.0999999999999999E-2</v>
      </c>
      <c r="I58" s="141">
        <f>IF(E58=0,"0,0%",G58/E58)</f>
        <v>0.995</v>
      </c>
      <c r="J58" s="99">
        <f t="shared" si="43"/>
        <v>-821.3</v>
      </c>
      <c r="K58" s="98">
        <f t="shared" si="44"/>
        <v>0.84299999999999997</v>
      </c>
      <c r="L58" s="128">
        <f>G58-F58</f>
        <v>-33852</v>
      </c>
    </row>
    <row r="59" spans="1:13">
      <c r="A59" s="17"/>
      <c r="B59" s="10" t="s">
        <v>27</v>
      </c>
      <c r="C59" s="119"/>
      <c r="D59" s="29"/>
      <c r="E59" s="7"/>
      <c r="F59" s="7"/>
      <c r="G59" s="7"/>
      <c r="H59" s="98"/>
      <c r="I59" s="98"/>
      <c r="J59" s="99"/>
      <c r="K59" s="98"/>
      <c r="L59" s="97"/>
    </row>
    <row r="60" spans="1:13" s="44" customFormat="1" ht="40.5">
      <c r="A60" s="17"/>
      <c r="B60" s="37" t="s">
        <v>181</v>
      </c>
      <c r="C60" s="155">
        <v>2735</v>
      </c>
      <c r="D60" s="38">
        <f>2442+333.2</f>
        <v>2775.2</v>
      </c>
      <c r="E60" s="38">
        <f>1713.5+290</f>
        <v>2003.5</v>
      </c>
      <c r="F60" s="38">
        <f>2174.6+205.8</f>
        <v>2380.4</v>
      </c>
      <c r="G60" s="38">
        <f>1713.5+290</f>
        <v>2003.5</v>
      </c>
      <c r="H60" s="107">
        <f>G60/$G$161</f>
        <v>5.0000000000000001E-3</v>
      </c>
      <c r="I60" s="141">
        <f>IF(E60=0,"0,0%",G60/E60)</f>
        <v>1</v>
      </c>
      <c r="J60" s="108">
        <f>G60-D60</f>
        <v>-771.7</v>
      </c>
      <c r="K60" s="107">
        <f>G60/D60</f>
        <v>0.72199999999999998</v>
      </c>
      <c r="L60" s="113">
        <f>G60-F60</f>
        <v>-376.9</v>
      </c>
    </row>
    <row r="61" spans="1:13" ht="40.5">
      <c r="A61" s="17" t="s">
        <v>63</v>
      </c>
      <c r="B61" s="10" t="s">
        <v>139</v>
      </c>
      <c r="C61" s="119">
        <v>184.2</v>
      </c>
      <c r="D61" s="29">
        <v>184.2</v>
      </c>
      <c r="E61" s="7">
        <v>131.80000000000001</v>
      </c>
      <c r="F61" s="7">
        <v>3662.8</v>
      </c>
      <c r="G61" s="7">
        <v>131.30000000000001</v>
      </c>
      <c r="H61" s="98">
        <f>G61/$G$161</f>
        <v>0</v>
      </c>
      <c r="I61" s="141">
        <f>IF(E61=0,"0,0%",G61/E61)</f>
        <v>0.996</v>
      </c>
      <c r="J61" s="99">
        <f t="shared" si="43"/>
        <v>-52.9</v>
      </c>
      <c r="K61" s="98">
        <f t="shared" si="44"/>
        <v>0.71299999999999997</v>
      </c>
      <c r="L61" s="97">
        <f t="shared" ref="L61:L134" si="45">G61-F61</f>
        <v>-3531.5</v>
      </c>
    </row>
    <row r="62" spans="1:13">
      <c r="A62" s="17"/>
      <c r="B62" s="10" t="s">
        <v>27</v>
      </c>
      <c r="C62" s="119"/>
      <c r="D62" s="29"/>
      <c r="E62" s="7"/>
      <c r="F62" s="7"/>
      <c r="G62" s="7"/>
      <c r="H62" s="98"/>
      <c r="I62" s="98"/>
      <c r="J62" s="99"/>
      <c r="K62" s="98"/>
      <c r="L62" s="97"/>
    </row>
    <row r="63" spans="1:13" s="44" customFormat="1" ht="54">
      <c r="A63" s="17"/>
      <c r="B63" s="37" t="s">
        <v>172</v>
      </c>
      <c r="C63" s="155">
        <v>0</v>
      </c>
      <c r="D63" s="38">
        <v>0</v>
      </c>
      <c r="E63" s="38">
        <v>0</v>
      </c>
      <c r="F63" s="38">
        <v>377</v>
      </c>
      <c r="G63" s="38">
        <v>0</v>
      </c>
      <c r="H63" s="107">
        <f>G63/$G$161</f>
        <v>0</v>
      </c>
      <c r="I63" s="141" t="str">
        <f>IF(E63=0,"0,0%",G63/E63)</f>
        <v>0,0%</v>
      </c>
      <c r="J63" s="108">
        <f>G63-D63</f>
        <v>0</v>
      </c>
      <c r="K63" s="107">
        <v>0</v>
      </c>
      <c r="L63" s="113">
        <f>G63-F63</f>
        <v>-377</v>
      </c>
    </row>
    <row r="64" spans="1:13" ht="27">
      <c r="A64" s="17" t="s">
        <v>146</v>
      </c>
      <c r="B64" s="10" t="s">
        <v>147</v>
      </c>
      <c r="C64" s="119">
        <v>0</v>
      </c>
      <c r="D64" s="29">
        <v>0</v>
      </c>
      <c r="E64" s="7">
        <v>0</v>
      </c>
      <c r="F64" s="7">
        <f>4648+954.8</f>
        <v>5602.8</v>
      </c>
      <c r="G64" s="7">
        <v>0</v>
      </c>
      <c r="H64" s="98">
        <f>G64/$G$161</f>
        <v>0</v>
      </c>
      <c r="I64" s="141" t="str">
        <f>IF(E64=0,"0,0%",G64/E64)</f>
        <v>0,0%</v>
      </c>
      <c r="J64" s="99">
        <f t="shared" si="43"/>
        <v>0</v>
      </c>
      <c r="K64" s="98">
        <v>0</v>
      </c>
      <c r="L64" s="97">
        <f t="shared" si="45"/>
        <v>-5602.8</v>
      </c>
    </row>
    <row r="65" spans="1:12">
      <c r="A65" s="17" t="s">
        <v>82</v>
      </c>
      <c r="B65" s="10" t="s">
        <v>23</v>
      </c>
      <c r="C65" s="119">
        <v>5000</v>
      </c>
      <c r="D65" s="29">
        <v>5000</v>
      </c>
      <c r="E65" s="7">
        <v>0</v>
      </c>
      <c r="F65" s="7">
        <v>0</v>
      </c>
      <c r="G65" s="7">
        <v>0</v>
      </c>
      <c r="H65" s="98">
        <f>G65/$G$161</f>
        <v>0</v>
      </c>
      <c r="I65" s="141" t="str">
        <f>IF(E65=0,"0,0%",G65/E65)</f>
        <v>0,0%</v>
      </c>
      <c r="J65" s="99">
        <f t="shared" si="43"/>
        <v>-5000</v>
      </c>
      <c r="K65" s="98">
        <f t="shared" si="44"/>
        <v>0</v>
      </c>
      <c r="L65" s="97">
        <f t="shared" si="45"/>
        <v>0</v>
      </c>
    </row>
    <row r="66" spans="1:12" s="1" customFormat="1">
      <c r="A66" s="17" t="s">
        <v>86</v>
      </c>
      <c r="B66" s="10" t="s">
        <v>140</v>
      </c>
      <c r="C66" s="119">
        <v>3047</v>
      </c>
      <c r="D66" s="29">
        <v>2750.4</v>
      </c>
      <c r="E66" s="7">
        <v>1255.5</v>
      </c>
      <c r="F66" s="7">
        <f>15142.6+7</f>
        <v>15149.6</v>
      </c>
      <c r="G66" s="7">
        <v>1255.5</v>
      </c>
      <c r="H66" s="98">
        <f>G66/$G$161</f>
        <v>3.0000000000000001E-3</v>
      </c>
      <c r="I66" s="141">
        <f>IF(E66=0,"0,0%",G66/E66)</f>
        <v>1</v>
      </c>
      <c r="J66" s="99">
        <f t="shared" si="43"/>
        <v>-1494.9</v>
      </c>
      <c r="K66" s="98">
        <f t="shared" si="44"/>
        <v>0.45600000000000002</v>
      </c>
      <c r="L66" s="97">
        <f t="shared" si="45"/>
        <v>-13894.1</v>
      </c>
    </row>
    <row r="67" spans="1:12" s="1" customFormat="1" hidden="1">
      <c r="A67" s="17"/>
      <c r="B67" s="8" t="s">
        <v>27</v>
      </c>
      <c r="C67" s="119"/>
      <c r="D67" s="29"/>
      <c r="E67" s="7"/>
      <c r="F67" s="7"/>
      <c r="G67" s="7"/>
      <c r="H67" s="98"/>
      <c r="I67" s="98"/>
      <c r="J67" s="99"/>
      <c r="K67" s="98"/>
      <c r="L67" s="97"/>
    </row>
    <row r="68" spans="1:12" s="1" customFormat="1" ht="54" hidden="1">
      <c r="A68" s="17"/>
      <c r="B68" s="9" t="s">
        <v>115</v>
      </c>
      <c r="C68" s="119"/>
      <c r="D68" s="29"/>
      <c r="E68" s="7"/>
      <c r="F68" s="7">
        <v>3021.7</v>
      </c>
      <c r="G68" s="7"/>
      <c r="H68" s="98">
        <f>G68/$G$161</f>
        <v>0</v>
      </c>
      <c r="I68" s="141" t="str">
        <f>IF(E68=0,"0,0%",G68/E68)</f>
        <v>0,0%</v>
      </c>
      <c r="J68" s="99">
        <f t="shared" si="43"/>
        <v>0</v>
      </c>
      <c r="K68" s="98" t="e">
        <f t="shared" si="44"/>
        <v>#DIV/0!</v>
      </c>
      <c r="L68" s="97">
        <f t="shared" si="45"/>
        <v>-3021.7</v>
      </c>
    </row>
    <row r="69" spans="1:12" s="1" customFormat="1" ht="27" hidden="1">
      <c r="A69" s="17"/>
      <c r="B69" s="9" t="s">
        <v>116</v>
      </c>
      <c r="C69" s="119"/>
      <c r="D69" s="29"/>
      <c r="E69" s="7"/>
      <c r="F69" s="7">
        <v>3058.2</v>
      </c>
      <c r="G69" s="7"/>
      <c r="H69" s="98">
        <f>G69/$G$161</f>
        <v>0</v>
      </c>
      <c r="I69" s="141" t="str">
        <f>IF(E69=0,"0,0%",G69/E69)</f>
        <v>0,0%</v>
      </c>
      <c r="J69" s="99">
        <f t="shared" si="43"/>
        <v>0</v>
      </c>
      <c r="K69" s="98" t="e">
        <f t="shared" si="44"/>
        <v>#DIV/0!</v>
      </c>
      <c r="L69" s="97">
        <f t="shared" si="45"/>
        <v>-3058.2</v>
      </c>
    </row>
    <row r="70" spans="1:12" s="1" customFormat="1">
      <c r="A70" s="124"/>
      <c r="B70" s="162" t="s">
        <v>154</v>
      </c>
      <c r="C70" s="131"/>
      <c r="D70" s="131"/>
      <c r="E70" s="126"/>
      <c r="F70" s="126"/>
      <c r="G70" s="126"/>
      <c r="H70" s="98"/>
      <c r="I70" s="98"/>
      <c r="J70" s="99"/>
      <c r="K70" s="98"/>
      <c r="L70" s="97"/>
    </row>
    <row r="71" spans="1:12" ht="27">
      <c r="A71" s="116"/>
      <c r="B71" s="117" t="s">
        <v>117</v>
      </c>
      <c r="C71" s="126">
        <v>13738.1</v>
      </c>
      <c r="D71" s="126">
        <v>15282.7</v>
      </c>
      <c r="E71" s="126">
        <v>9869.9</v>
      </c>
      <c r="F71" s="126">
        <f>31887.4+8792.7</f>
        <v>40680.1</v>
      </c>
      <c r="G71" s="126">
        <v>9868</v>
      </c>
      <c r="H71" s="98">
        <f>G71/$G$161</f>
        <v>2.4E-2</v>
      </c>
      <c r="I71" s="141">
        <f>IF(E71=0,"0,0%",G71/E71)</f>
        <v>1</v>
      </c>
      <c r="J71" s="99">
        <f t="shared" ref="J71:J74" si="46">G71-D71</f>
        <v>-5414.7</v>
      </c>
      <c r="K71" s="98">
        <f t="shared" ref="K71:K74" si="47">G71/D71</f>
        <v>0.64600000000000002</v>
      </c>
      <c r="L71" s="97">
        <f t="shared" ref="L71:L74" si="48">G71-F71</f>
        <v>-30812.1</v>
      </c>
    </row>
    <row r="72" spans="1:12">
      <c r="A72" s="124"/>
      <c r="B72" s="117" t="s">
        <v>121</v>
      </c>
      <c r="C72" s="126">
        <v>0</v>
      </c>
      <c r="D72" s="126">
        <v>237.6</v>
      </c>
      <c r="E72" s="126">
        <v>237.6</v>
      </c>
      <c r="F72" s="126">
        <f>2227.7+200.5</f>
        <v>2428.1999999999998</v>
      </c>
      <c r="G72" s="126">
        <v>237.6</v>
      </c>
      <c r="H72" s="98">
        <f>G72/$G$161</f>
        <v>1E-3</v>
      </c>
      <c r="I72" s="141">
        <f>IF(E72=0,"0,0%",G72/E72)</f>
        <v>1</v>
      </c>
      <c r="J72" s="99">
        <f t="shared" ref="J72" si="49">G72-D72</f>
        <v>0</v>
      </c>
      <c r="K72" s="98">
        <f t="shared" ref="K72" si="50">G72/D72</f>
        <v>1</v>
      </c>
      <c r="L72" s="97">
        <f t="shared" ref="L72" si="51">G72-F72</f>
        <v>-2190.6</v>
      </c>
    </row>
    <row r="73" spans="1:12">
      <c r="A73" s="116"/>
      <c r="B73" s="133" t="s">
        <v>188</v>
      </c>
      <c r="C73" s="131">
        <v>320</v>
      </c>
      <c r="D73" s="131">
        <v>320</v>
      </c>
      <c r="E73" s="131">
        <v>159.19999999999999</v>
      </c>
      <c r="F73" s="131">
        <v>121.3</v>
      </c>
      <c r="G73" s="131">
        <v>159.19999999999999</v>
      </c>
      <c r="H73" s="98">
        <f>G73/$G$161</f>
        <v>0</v>
      </c>
      <c r="I73" s="141">
        <f>IF(E73=0,"0,0%",G73/E73)</f>
        <v>1</v>
      </c>
      <c r="J73" s="99">
        <f t="shared" si="46"/>
        <v>-160.80000000000001</v>
      </c>
      <c r="K73" s="98">
        <f t="shared" si="47"/>
        <v>0.498</v>
      </c>
      <c r="L73" s="97">
        <f t="shared" si="48"/>
        <v>37.9</v>
      </c>
    </row>
    <row r="74" spans="1:12" s="27" customFormat="1">
      <c r="A74" s="84" t="s">
        <v>226</v>
      </c>
      <c r="B74" s="90" t="s">
        <v>227</v>
      </c>
      <c r="C74" s="86">
        <f>C76+C78</f>
        <v>0</v>
      </c>
      <c r="D74" s="183">
        <f>D76+D78</f>
        <v>0</v>
      </c>
      <c r="E74" s="183">
        <f t="shared" ref="E74" si="52">E76+E78</f>
        <v>0</v>
      </c>
      <c r="F74" s="86">
        <f>F76+F78</f>
        <v>337.3</v>
      </c>
      <c r="G74" s="183">
        <f t="shared" ref="G74" si="53">G76+G78</f>
        <v>0</v>
      </c>
      <c r="H74" s="87">
        <f>G74/$G$161</f>
        <v>0</v>
      </c>
      <c r="I74" s="141" t="str">
        <f>IF(E74=0,"0,0%",G74/E74)</f>
        <v>0,0%</v>
      </c>
      <c r="J74" s="88">
        <f t="shared" si="46"/>
        <v>0</v>
      </c>
      <c r="K74" s="87" t="e">
        <f t="shared" si="47"/>
        <v>#DIV/0!</v>
      </c>
      <c r="L74" s="89">
        <f t="shared" si="48"/>
        <v>-337.3</v>
      </c>
    </row>
    <row r="75" spans="1:12" s="27" customFormat="1">
      <c r="A75" s="19"/>
      <c r="B75" s="174" t="s">
        <v>183</v>
      </c>
      <c r="C75" s="175"/>
      <c r="D75" s="175"/>
      <c r="E75" s="175"/>
      <c r="F75" s="175"/>
      <c r="G75" s="175"/>
      <c r="H75" s="176"/>
      <c r="I75" s="177"/>
      <c r="J75" s="178"/>
      <c r="K75" s="176"/>
      <c r="L75" s="39"/>
    </row>
    <row r="76" spans="1:12" s="44" customFormat="1">
      <c r="A76" s="17" t="s">
        <v>228</v>
      </c>
      <c r="B76" s="20" t="s">
        <v>229</v>
      </c>
      <c r="C76" s="156">
        <v>0</v>
      </c>
      <c r="D76" s="22">
        <v>0</v>
      </c>
      <c r="E76" s="22">
        <v>0</v>
      </c>
      <c r="F76" s="22">
        <v>337.3</v>
      </c>
      <c r="G76" s="22">
        <v>0</v>
      </c>
      <c r="H76" s="98">
        <f>G76/$G$161</f>
        <v>0</v>
      </c>
      <c r="I76" s="141" t="str">
        <f>IF(E76=0,"0,0%",G76/E76)</f>
        <v>0,0%</v>
      </c>
      <c r="J76" s="99">
        <f t="shared" ref="J76" si="54">G76-D76</f>
        <v>0</v>
      </c>
      <c r="K76" s="98">
        <v>0</v>
      </c>
      <c r="L76" s="97">
        <f t="shared" ref="L76" si="55">G76-F76</f>
        <v>-337.3</v>
      </c>
    </row>
    <row r="77" spans="1:12" s="27" customFormat="1" ht="27">
      <c r="A77" s="84" t="s">
        <v>103</v>
      </c>
      <c r="B77" s="90" t="s">
        <v>104</v>
      </c>
      <c r="C77" s="86">
        <f>C79+C81</f>
        <v>7785.7</v>
      </c>
      <c r="D77" s="183">
        <f t="shared" ref="D77:G77" si="56">D79+D81</f>
        <v>7785.7</v>
      </c>
      <c r="E77" s="183">
        <f t="shared" si="56"/>
        <v>7366</v>
      </c>
      <c r="F77" s="86">
        <f>F79+F81</f>
        <v>5286.3</v>
      </c>
      <c r="G77" s="183">
        <f t="shared" si="56"/>
        <v>7366</v>
      </c>
      <c r="H77" s="87">
        <f>G77/$G$161</f>
        <v>1.7999999999999999E-2</v>
      </c>
      <c r="I77" s="141">
        <f>IF(E77=0,"0,0%",G77/E77)</f>
        <v>1</v>
      </c>
      <c r="J77" s="88">
        <f t="shared" si="43"/>
        <v>-419.7</v>
      </c>
      <c r="K77" s="87">
        <f t="shared" si="44"/>
        <v>0.94599999999999995</v>
      </c>
      <c r="L77" s="89">
        <f t="shared" si="45"/>
        <v>2079.6999999999998</v>
      </c>
    </row>
    <row r="78" spans="1:12" s="27" customFormat="1">
      <c r="A78" s="19"/>
      <c r="B78" s="174" t="s">
        <v>183</v>
      </c>
      <c r="C78" s="175"/>
      <c r="D78" s="175"/>
      <c r="E78" s="175"/>
      <c r="F78" s="175"/>
      <c r="G78" s="175"/>
      <c r="H78" s="176"/>
      <c r="I78" s="177"/>
      <c r="J78" s="178"/>
      <c r="K78" s="176"/>
      <c r="L78" s="39"/>
    </row>
    <row r="79" spans="1:12" s="44" customFormat="1" ht="40.5">
      <c r="A79" s="17" t="s">
        <v>182</v>
      </c>
      <c r="B79" s="20" t="s">
        <v>128</v>
      </c>
      <c r="C79" s="156">
        <v>176</v>
      </c>
      <c r="D79" s="22">
        <v>176</v>
      </c>
      <c r="E79" s="22">
        <v>0</v>
      </c>
      <c r="F79" s="22">
        <v>246</v>
      </c>
      <c r="G79" s="22">
        <v>0</v>
      </c>
      <c r="H79" s="98">
        <f>G79/$G$161</f>
        <v>0</v>
      </c>
      <c r="I79" s="141" t="str">
        <f>IF(E79=0,"0,0%",G79/E79)</f>
        <v>0,0%</v>
      </c>
      <c r="J79" s="99">
        <f t="shared" si="43"/>
        <v>-176</v>
      </c>
      <c r="K79" s="98">
        <f t="shared" si="44"/>
        <v>0</v>
      </c>
      <c r="L79" s="97">
        <f t="shared" si="45"/>
        <v>-246</v>
      </c>
    </row>
    <row r="80" spans="1:12" s="44" customFormat="1" hidden="1">
      <c r="A80" s="17"/>
      <c r="B80" s="8" t="s">
        <v>27</v>
      </c>
      <c r="C80" s="156"/>
      <c r="D80" s="22"/>
      <c r="E80" s="38"/>
      <c r="F80" s="38"/>
      <c r="G80" s="38"/>
      <c r="H80" s="98"/>
      <c r="I80" s="98"/>
      <c r="J80" s="99"/>
      <c r="K80" s="98"/>
      <c r="L80" s="97"/>
    </row>
    <row r="81" spans="1:13" s="44" customFormat="1" ht="54">
      <c r="A81" s="17" t="s">
        <v>182</v>
      </c>
      <c r="B81" s="37" t="s">
        <v>184</v>
      </c>
      <c r="C81" s="155">
        <v>7609.7</v>
      </c>
      <c r="D81" s="38">
        <v>7609.7</v>
      </c>
      <c r="E81" s="38">
        <v>7366</v>
      </c>
      <c r="F81" s="38">
        <v>5040.3</v>
      </c>
      <c r="G81" s="38">
        <v>7366</v>
      </c>
      <c r="H81" s="107">
        <f>G81/$G$161</f>
        <v>1.7999999999999999E-2</v>
      </c>
      <c r="I81" s="141">
        <f>IF(E81=0,"0,0%",G81/E81)</f>
        <v>1</v>
      </c>
      <c r="J81" s="108">
        <f>G81-D81</f>
        <v>-243.7</v>
      </c>
      <c r="K81" s="107">
        <f>G81/D81</f>
        <v>0.96799999999999997</v>
      </c>
      <c r="L81" s="113">
        <f>G81-F81</f>
        <v>2325.6999999999998</v>
      </c>
    </row>
    <row r="82" spans="1:13" s="44" customFormat="1" hidden="1">
      <c r="A82" s="124"/>
      <c r="B82" s="162" t="s">
        <v>155</v>
      </c>
      <c r="C82" s="132"/>
      <c r="D82" s="22"/>
      <c r="E82" s="38"/>
      <c r="F82" s="38"/>
      <c r="G82" s="38"/>
      <c r="H82" s="98"/>
      <c r="I82" s="98"/>
      <c r="J82" s="99"/>
      <c r="K82" s="98"/>
      <c r="L82" s="97"/>
    </row>
    <row r="83" spans="1:13" s="44" customFormat="1" hidden="1">
      <c r="A83" s="124"/>
      <c r="B83" s="133" t="s">
        <v>127</v>
      </c>
      <c r="C83" s="132"/>
      <c r="D83" s="22"/>
      <c r="E83" s="38"/>
      <c r="F83" s="38">
        <v>0</v>
      </c>
      <c r="G83" s="38">
        <v>0</v>
      </c>
      <c r="H83" s="98">
        <f>G83/$G$161</f>
        <v>0</v>
      </c>
      <c r="I83" s="141" t="str">
        <f>IF(E83=0,"0,0%",G83/E83)</f>
        <v>0,0%</v>
      </c>
      <c r="J83" s="99">
        <f>G83-D83</f>
        <v>0</v>
      </c>
      <c r="K83" s="98" t="e">
        <f>G83/D83</f>
        <v>#DIV/0!</v>
      </c>
      <c r="L83" s="97">
        <f>G83-F83</f>
        <v>0</v>
      </c>
    </row>
    <row r="84" spans="1:13" s="27" customFormat="1">
      <c r="A84" s="84" t="s">
        <v>24</v>
      </c>
      <c r="B84" s="85" t="s">
        <v>26</v>
      </c>
      <c r="C84" s="86">
        <f>C85+C89+C97</f>
        <v>233168.6</v>
      </c>
      <c r="D84" s="183">
        <f>D85+D89+D97</f>
        <v>292324.90000000002</v>
      </c>
      <c r="E84" s="183">
        <f>E85+E89+E97</f>
        <v>227539.5</v>
      </c>
      <c r="F84" s="86">
        <f>F85+F89+F97</f>
        <v>253176.6</v>
      </c>
      <c r="G84" s="183">
        <f>G85+G89+G97</f>
        <v>217482.1</v>
      </c>
      <c r="H84" s="87">
        <f>G84/$G$161</f>
        <v>0.51800000000000002</v>
      </c>
      <c r="I84" s="141">
        <f>IF(E84=0,"0,0%",G84/E84)</f>
        <v>0.95599999999999996</v>
      </c>
      <c r="J84" s="88">
        <f t="shared" si="43"/>
        <v>-74842.8</v>
      </c>
      <c r="K84" s="87">
        <f t="shared" si="44"/>
        <v>0.74399999999999999</v>
      </c>
      <c r="L84" s="89">
        <f t="shared" si="45"/>
        <v>-35694.5</v>
      </c>
      <c r="M84" s="27">
        <v>-0.1</v>
      </c>
    </row>
    <row r="85" spans="1:13">
      <c r="A85" s="3" t="s">
        <v>54</v>
      </c>
      <c r="B85" s="9" t="s">
        <v>105</v>
      </c>
      <c r="C85" s="118">
        <v>25000</v>
      </c>
      <c r="D85" s="7">
        <v>25000</v>
      </c>
      <c r="E85" s="7">
        <f>E87</f>
        <v>18450</v>
      </c>
      <c r="F85" s="7">
        <v>20808.3</v>
      </c>
      <c r="G85" s="7">
        <v>18401.5</v>
      </c>
      <c r="H85" s="98">
        <f>G85/$G$161</f>
        <v>4.3999999999999997E-2</v>
      </c>
      <c r="I85" s="141">
        <f>IF(E85=0,"0,0%",G85/E85)</f>
        <v>0.997</v>
      </c>
      <c r="J85" s="99">
        <f t="shared" si="43"/>
        <v>-6598.5</v>
      </c>
      <c r="K85" s="98">
        <f t="shared" si="44"/>
        <v>0.73599999999999999</v>
      </c>
      <c r="L85" s="97">
        <f t="shared" si="45"/>
        <v>-2406.8000000000002</v>
      </c>
    </row>
    <row r="86" spans="1:13">
      <c r="A86" s="3"/>
      <c r="B86" s="8" t="s">
        <v>27</v>
      </c>
      <c r="C86" s="118"/>
      <c r="D86" s="7"/>
      <c r="E86" s="7"/>
      <c r="F86" s="181"/>
      <c r="G86" s="181"/>
      <c r="H86" s="98"/>
      <c r="I86" s="98"/>
      <c r="J86" s="99"/>
      <c r="K86" s="98"/>
      <c r="L86" s="97"/>
    </row>
    <row r="87" spans="1:13" ht="54">
      <c r="A87" s="3"/>
      <c r="B87" s="9" t="s">
        <v>131</v>
      </c>
      <c r="C87" s="118">
        <v>25000</v>
      </c>
      <c r="D87" s="7">
        <v>25000</v>
      </c>
      <c r="E87" s="7">
        <v>18450</v>
      </c>
      <c r="F87" s="7">
        <v>20808.3</v>
      </c>
      <c r="G87" s="7">
        <v>18401.5</v>
      </c>
      <c r="H87" s="98">
        <f>G87/$G$161</f>
        <v>4.3999999999999997E-2</v>
      </c>
      <c r="I87" s="141">
        <f>IF(E87=0,"0,0%",G87/E87)</f>
        <v>0.997</v>
      </c>
      <c r="J87" s="99">
        <f t="shared" si="43"/>
        <v>-6598.5</v>
      </c>
      <c r="K87" s="98">
        <f t="shared" si="44"/>
        <v>0.73599999999999999</v>
      </c>
      <c r="L87" s="97">
        <f t="shared" si="45"/>
        <v>-2406.8000000000002</v>
      </c>
    </row>
    <row r="88" spans="1:13" s="44" customFormat="1" hidden="1">
      <c r="A88" s="17"/>
      <c r="B88" s="37" t="s">
        <v>173</v>
      </c>
      <c r="C88" s="155"/>
      <c r="D88" s="38"/>
      <c r="E88" s="38"/>
      <c r="F88" s="38">
        <v>0</v>
      </c>
      <c r="G88" s="38"/>
      <c r="H88" s="107">
        <f>G88/$G$161</f>
        <v>0</v>
      </c>
      <c r="I88" s="141" t="str">
        <f>IF(E88=0,"0,0%",G88/E88)</f>
        <v>0,0%</v>
      </c>
      <c r="J88" s="108">
        <f>G88-D88</f>
        <v>0</v>
      </c>
      <c r="K88" s="107" t="e">
        <f>G88/D88</f>
        <v>#DIV/0!</v>
      </c>
      <c r="L88" s="113">
        <f>G88-F88</f>
        <v>0</v>
      </c>
    </row>
    <row r="89" spans="1:13" s="1" customFormat="1">
      <c r="A89" s="3" t="s">
        <v>106</v>
      </c>
      <c r="B89" s="9" t="s">
        <v>107</v>
      </c>
      <c r="C89" s="118">
        <v>204925.1</v>
      </c>
      <c r="D89" s="7">
        <v>264336.09999999998</v>
      </c>
      <c r="E89" s="7">
        <v>207531.4</v>
      </c>
      <c r="F89" s="7">
        <f>220879.4+10009.3</f>
        <v>230888.7</v>
      </c>
      <c r="G89" s="7">
        <v>197522.5</v>
      </c>
      <c r="H89" s="98">
        <f>G89/$G$161</f>
        <v>0.47</v>
      </c>
      <c r="I89" s="141">
        <f>IF(E89=0,"0,0%",G89/E89)</f>
        <v>0.95199999999999996</v>
      </c>
      <c r="J89" s="99">
        <f t="shared" si="43"/>
        <v>-66813.600000000006</v>
      </c>
      <c r="K89" s="98">
        <f t="shared" si="44"/>
        <v>0.747</v>
      </c>
      <c r="L89" s="97">
        <f t="shared" si="45"/>
        <v>-33366.199999999997</v>
      </c>
    </row>
    <row r="90" spans="1:13" s="1" customFormat="1">
      <c r="A90" s="3"/>
      <c r="B90" s="8" t="s">
        <v>27</v>
      </c>
      <c r="C90" s="118"/>
      <c r="D90" s="7"/>
      <c r="E90" s="7"/>
      <c r="F90" s="182"/>
      <c r="G90" s="182"/>
      <c r="H90" s="98"/>
      <c r="I90" s="98"/>
      <c r="J90" s="99"/>
      <c r="K90" s="98"/>
      <c r="L90" s="97"/>
    </row>
    <row r="91" spans="1:13" s="1" customFormat="1" ht="27">
      <c r="A91" s="3"/>
      <c r="B91" s="9" t="s">
        <v>108</v>
      </c>
      <c r="C91" s="118">
        <v>146027.20000000001</v>
      </c>
      <c r="D91" s="7">
        <v>218937.2</v>
      </c>
      <c r="E91" s="7">
        <f>5262+190588.1+4091.2</f>
        <v>199941.3</v>
      </c>
      <c r="F91" s="7">
        <f>64600.2+1221.7+1741.1+73205.9+8519.2+190.4+0.8</f>
        <v>149479.29999999999</v>
      </c>
      <c r="G91" s="7">
        <v>189932.4</v>
      </c>
      <c r="H91" s="98">
        <f t="shared" ref="H91:H97" si="57">G91/$G$161</f>
        <v>0.45200000000000001</v>
      </c>
      <c r="I91" s="141">
        <f t="shared" ref="I91:I97" si="58">IF(E91=0,"0,0%",G91/E91)</f>
        <v>0.95</v>
      </c>
      <c r="J91" s="99">
        <f t="shared" si="43"/>
        <v>-29004.799999999999</v>
      </c>
      <c r="K91" s="98">
        <f t="shared" si="44"/>
        <v>0.86799999999999999</v>
      </c>
      <c r="L91" s="97">
        <f t="shared" si="45"/>
        <v>40453.1</v>
      </c>
    </row>
    <row r="92" spans="1:13" s="1" customFormat="1" ht="30.75" customHeight="1">
      <c r="A92" s="179" t="s">
        <v>212</v>
      </c>
      <c r="B92" s="9" t="s">
        <v>109</v>
      </c>
      <c r="C92" s="118">
        <v>58897.9</v>
      </c>
      <c r="D92" s="7">
        <f>33649.1+11120.2</f>
        <v>44769.3</v>
      </c>
      <c r="E92" s="7">
        <f>5504.9+1693.1</f>
        <v>7198</v>
      </c>
      <c r="F92" s="181">
        <f>4323.4+13200.2+10377.8+1382.7+1298.8</f>
        <v>30582.9</v>
      </c>
      <c r="G92" s="7">
        <f>1805.6+5504.9</f>
        <v>7310.5</v>
      </c>
      <c r="H92" s="98">
        <f t="shared" si="57"/>
        <v>1.7000000000000001E-2</v>
      </c>
      <c r="I92" s="141">
        <f t="shared" si="58"/>
        <v>1.016</v>
      </c>
      <c r="J92" s="99">
        <f t="shared" si="43"/>
        <v>-37458.800000000003</v>
      </c>
      <c r="K92" s="98">
        <f t="shared" si="44"/>
        <v>0.16300000000000001</v>
      </c>
      <c r="L92" s="97">
        <f t="shared" si="45"/>
        <v>-23272.400000000001</v>
      </c>
    </row>
    <row r="93" spans="1:13" s="1" customFormat="1" ht="67.5">
      <c r="A93" s="3"/>
      <c r="B93" s="9" t="s">
        <v>148</v>
      </c>
      <c r="C93" s="118">
        <v>0</v>
      </c>
      <c r="D93" s="7">
        <v>0</v>
      </c>
      <c r="E93" s="7">
        <v>0</v>
      </c>
      <c r="F93" s="181">
        <v>24055.599999999999</v>
      </c>
      <c r="G93" s="7">
        <v>0</v>
      </c>
      <c r="H93" s="98">
        <f t="shared" si="57"/>
        <v>0</v>
      </c>
      <c r="I93" s="141" t="str">
        <f t="shared" si="58"/>
        <v>0,0%</v>
      </c>
      <c r="J93" s="99">
        <f t="shared" si="43"/>
        <v>0</v>
      </c>
      <c r="K93" s="98">
        <v>0</v>
      </c>
      <c r="L93" s="97">
        <f t="shared" si="45"/>
        <v>-24055.599999999999</v>
      </c>
    </row>
    <row r="94" spans="1:13" s="1" customFormat="1" ht="54">
      <c r="A94" s="3"/>
      <c r="B94" s="9" t="s">
        <v>149</v>
      </c>
      <c r="C94" s="118">
        <v>0</v>
      </c>
      <c r="D94" s="7">
        <v>0</v>
      </c>
      <c r="E94" s="7">
        <v>0</v>
      </c>
      <c r="F94" s="181">
        <v>26405</v>
      </c>
      <c r="G94" s="7">
        <v>0</v>
      </c>
      <c r="H94" s="98">
        <f t="shared" si="57"/>
        <v>0</v>
      </c>
      <c r="I94" s="141" t="str">
        <f t="shared" si="58"/>
        <v>0,0%</v>
      </c>
      <c r="J94" s="99">
        <f t="shared" si="43"/>
        <v>0</v>
      </c>
      <c r="K94" s="98">
        <v>0</v>
      </c>
      <c r="L94" s="97">
        <f t="shared" si="45"/>
        <v>-26405</v>
      </c>
    </row>
    <row r="95" spans="1:13" s="1" customFormat="1" ht="40.5" hidden="1">
      <c r="A95" s="3"/>
      <c r="B95" s="9" t="s">
        <v>110</v>
      </c>
      <c r="C95" s="118"/>
      <c r="D95" s="7"/>
      <c r="E95" s="7"/>
      <c r="F95" s="181">
        <v>0</v>
      </c>
      <c r="G95" s="7">
        <v>0</v>
      </c>
      <c r="H95" s="98">
        <f t="shared" si="57"/>
        <v>0</v>
      </c>
      <c r="I95" s="141" t="str">
        <f t="shared" si="58"/>
        <v>0,0%</v>
      </c>
      <c r="J95" s="99">
        <f t="shared" si="43"/>
        <v>0</v>
      </c>
      <c r="K95" s="98" t="e">
        <f>G95/D95</f>
        <v>#DIV/0!</v>
      </c>
      <c r="L95" s="97">
        <f t="shared" si="45"/>
        <v>0</v>
      </c>
    </row>
    <row r="96" spans="1:13" s="44" customFormat="1" hidden="1">
      <c r="A96" s="17"/>
      <c r="B96" s="37" t="s">
        <v>173</v>
      </c>
      <c r="C96" s="155"/>
      <c r="D96" s="38"/>
      <c r="E96" s="38"/>
      <c r="F96" s="181">
        <v>0</v>
      </c>
      <c r="G96" s="38">
        <v>0</v>
      </c>
      <c r="H96" s="107">
        <f t="shared" si="57"/>
        <v>0</v>
      </c>
      <c r="I96" s="141" t="str">
        <f>IF(E96=0,"0,0%",G96/E96)</f>
        <v>0,0%</v>
      </c>
      <c r="J96" s="108">
        <f>G96-D96</f>
        <v>0</v>
      </c>
      <c r="K96" s="107" t="e">
        <f>G96/D96</f>
        <v>#DIV/0!</v>
      </c>
      <c r="L96" s="113">
        <f>G96-F96</f>
        <v>0</v>
      </c>
    </row>
    <row r="97" spans="1:12" s="1" customFormat="1" ht="27">
      <c r="A97" s="3" t="s">
        <v>185</v>
      </c>
      <c r="B97" s="9" t="s">
        <v>164</v>
      </c>
      <c r="C97" s="118">
        <v>3243.5</v>
      </c>
      <c r="D97" s="7">
        <f>D99+D100</f>
        <v>2988.8</v>
      </c>
      <c r="E97" s="7">
        <f>E99+E100</f>
        <v>1558.1</v>
      </c>
      <c r="F97" s="181">
        <f>1227.6+252</f>
        <v>1479.6</v>
      </c>
      <c r="G97" s="7">
        <f>G99+G100</f>
        <v>1558.1</v>
      </c>
      <c r="H97" s="98">
        <f t="shared" si="57"/>
        <v>4.0000000000000001E-3</v>
      </c>
      <c r="I97" s="141">
        <f t="shared" si="58"/>
        <v>1</v>
      </c>
      <c r="J97" s="99">
        <f t="shared" si="43"/>
        <v>-1430.7</v>
      </c>
      <c r="K97" s="98">
        <f t="shared" si="44"/>
        <v>0.52100000000000002</v>
      </c>
      <c r="L97" s="97">
        <f>G97-F97</f>
        <v>78.5</v>
      </c>
    </row>
    <row r="98" spans="1:12" s="1" customFormat="1">
      <c r="A98" s="3"/>
      <c r="B98" s="8" t="s">
        <v>27</v>
      </c>
      <c r="C98" s="118"/>
      <c r="D98" s="7"/>
      <c r="E98" s="7"/>
      <c r="F98" s="181"/>
      <c r="G98" s="7"/>
      <c r="H98" s="98"/>
      <c r="I98" s="98"/>
      <c r="J98" s="99"/>
      <c r="K98" s="98"/>
      <c r="L98" s="97"/>
    </row>
    <row r="99" spans="1:12" s="44" customFormat="1" ht="54">
      <c r="A99" s="17"/>
      <c r="B99" s="37" t="s">
        <v>187</v>
      </c>
      <c r="C99" s="155">
        <v>2293.5</v>
      </c>
      <c r="D99" s="38">
        <v>2417</v>
      </c>
      <c r="E99" s="38">
        <v>1476.1</v>
      </c>
      <c r="F99" s="181">
        <f>1227.6+252</f>
        <v>1479.6</v>
      </c>
      <c r="G99" s="38">
        <v>1476.1</v>
      </c>
      <c r="H99" s="107">
        <f>G99/$G$161</f>
        <v>4.0000000000000001E-3</v>
      </c>
      <c r="I99" s="141">
        <f>IF(E99=0,"0,0%",G99/E99)</f>
        <v>1</v>
      </c>
      <c r="J99" s="108">
        <f>G99-D99</f>
        <v>-940.9</v>
      </c>
      <c r="K99" s="107">
        <f>G99/D99</f>
        <v>0.61099999999999999</v>
      </c>
      <c r="L99" s="113">
        <f>G99-F99</f>
        <v>-3.5</v>
      </c>
    </row>
    <row r="100" spans="1:12" s="44" customFormat="1" ht="54">
      <c r="A100" s="17"/>
      <c r="B100" s="37" t="s">
        <v>186</v>
      </c>
      <c r="C100" s="155">
        <v>950</v>
      </c>
      <c r="D100" s="38">
        <v>571.79999999999995</v>
      </c>
      <c r="E100" s="38">
        <v>82</v>
      </c>
      <c r="F100" s="181">
        <v>0</v>
      </c>
      <c r="G100" s="38">
        <v>82</v>
      </c>
      <c r="H100" s="107">
        <f>G100/$G$161</f>
        <v>0</v>
      </c>
      <c r="I100" s="141">
        <f>IF(E100=0,"0,0%",G100/E100)</f>
        <v>1</v>
      </c>
      <c r="J100" s="108">
        <f>G100-D100</f>
        <v>-489.8</v>
      </c>
      <c r="K100" s="107">
        <f>G100/D100</f>
        <v>0.14299999999999999</v>
      </c>
      <c r="L100" s="113">
        <f>G100-F100</f>
        <v>82</v>
      </c>
    </row>
    <row r="101" spans="1:12" s="1" customFormat="1">
      <c r="A101" s="134"/>
      <c r="B101" s="162" t="s">
        <v>156</v>
      </c>
      <c r="C101" s="126"/>
      <c r="D101" s="126"/>
      <c r="E101" s="126"/>
      <c r="F101" s="126"/>
      <c r="G101" s="126"/>
      <c r="H101" s="98"/>
      <c r="I101" s="98"/>
      <c r="J101" s="99"/>
      <c r="K101" s="98"/>
      <c r="L101" s="97"/>
    </row>
    <row r="102" spans="1:12" s="1" customFormat="1">
      <c r="A102" s="134"/>
      <c r="B102" s="133" t="s">
        <v>188</v>
      </c>
      <c r="C102" s="126">
        <v>204925.1</v>
      </c>
      <c r="D102" s="126">
        <v>238328.8</v>
      </c>
      <c r="E102" s="126">
        <v>203048.1</v>
      </c>
      <c r="F102" s="126">
        <v>11460.4</v>
      </c>
      <c r="G102" s="126">
        <v>193039.2</v>
      </c>
      <c r="H102" s="98">
        <f>G102/$G$161</f>
        <v>0.46</v>
      </c>
      <c r="I102" s="141">
        <f>IF(E102=0,"0,0%",G102/E102)</f>
        <v>0.95099999999999996</v>
      </c>
      <c r="J102" s="99">
        <f t="shared" si="43"/>
        <v>-45289.599999999999</v>
      </c>
      <c r="K102" s="98">
        <f t="shared" si="44"/>
        <v>0.81</v>
      </c>
      <c r="L102" s="97">
        <f t="shared" si="45"/>
        <v>181578.8</v>
      </c>
    </row>
    <row r="103" spans="1:12" s="27" customFormat="1">
      <c r="A103" s="84" t="s">
        <v>22</v>
      </c>
      <c r="B103" s="91" t="s">
        <v>8</v>
      </c>
      <c r="C103" s="89">
        <f>C104+C113+C119+C110</f>
        <v>215753.7</v>
      </c>
      <c r="D103" s="185">
        <f t="shared" ref="D103:G103" si="59">D104+D113+D119+D110</f>
        <v>156826.70000000001</v>
      </c>
      <c r="E103" s="185">
        <f t="shared" si="59"/>
        <v>90960</v>
      </c>
      <c r="F103" s="89">
        <f t="shared" si="59"/>
        <v>93631.6</v>
      </c>
      <c r="G103" s="185">
        <f t="shared" si="59"/>
        <v>90835.199999999997</v>
      </c>
      <c r="H103" s="87">
        <f>G103/$G$161</f>
        <v>0.216</v>
      </c>
      <c r="I103" s="141">
        <f>IF(E103=0,"0,0%",G103/E103)</f>
        <v>0.999</v>
      </c>
      <c r="J103" s="88">
        <f t="shared" si="43"/>
        <v>-65991.5</v>
      </c>
      <c r="K103" s="87">
        <f t="shared" si="44"/>
        <v>0.57899999999999996</v>
      </c>
      <c r="L103" s="89">
        <f t="shared" si="45"/>
        <v>-2796.4</v>
      </c>
    </row>
    <row r="104" spans="1:12">
      <c r="A104" s="17" t="s">
        <v>64</v>
      </c>
      <c r="B104" s="36" t="s">
        <v>81</v>
      </c>
      <c r="C104" s="155">
        <v>108620.8</v>
      </c>
      <c r="D104" s="38">
        <v>43534.1</v>
      </c>
      <c r="E104" s="38">
        <v>15057.4</v>
      </c>
      <c r="F104" s="38">
        <f>3862.7+0.1</f>
        <v>3862.8</v>
      </c>
      <c r="G104" s="38">
        <v>15036.3</v>
      </c>
      <c r="H104" s="98">
        <f>G104/$G$161</f>
        <v>3.5999999999999997E-2</v>
      </c>
      <c r="I104" s="141">
        <f>IF(E104=0,"0,0%",G104/E104)</f>
        <v>0.999</v>
      </c>
      <c r="J104" s="99">
        <f t="shared" si="43"/>
        <v>-28497.8</v>
      </c>
      <c r="K104" s="98">
        <f>G104/D104</f>
        <v>0.34499999999999997</v>
      </c>
      <c r="L104" s="97">
        <f t="shared" si="45"/>
        <v>11173.5</v>
      </c>
    </row>
    <row r="105" spans="1:12">
      <c r="A105" s="17"/>
      <c r="B105" s="36" t="s">
        <v>27</v>
      </c>
      <c r="C105" s="157"/>
      <c r="D105" s="5"/>
      <c r="E105" s="5"/>
      <c r="F105" s="5"/>
      <c r="G105" s="5"/>
      <c r="H105" s="98"/>
      <c r="I105" s="98"/>
      <c r="J105" s="99"/>
      <c r="K105" s="98"/>
      <c r="L105" s="97"/>
    </row>
    <row r="106" spans="1:12" ht="40.5">
      <c r="A106" s="17"/>
      <c r="B106" s="37" t="s">
        <v>83</v>
      </c>
      <c r="C106" s="155">
        <v>1950.5</v>
      </c>
      <c r="D106" s="38">
        <v>1950.5</v>
      </c>
      <c r="E106" s="38">
        <v>947.9</v>
      </c>
      <c r="F106" s="38">
        <f>656.2+40.9+23.8+96.9+380</f>
        <v>1197.8</v>
      </c>
      <c r="G106" s="38">
        <v>947.1</v>
      </c>
      <c r="H106" s="98">
        <f>G106/$G$161</f>
        <v>2E-3</v>
      </c>
      <c r="I106" s="141">
        <f>IF(E106=0,"0,0%",G106/E106)</f>
        <v>0.999</v>
      </c>
      <c r="J106" s="99">
        <f t="shared" si="43"/>
        <v>-1003.4</v>
      </c>
      <c r="K106" s="98">
        <f t="shared" si="44"/>
        <v>0.48599999999999999</v>
      </c>
      <c r="L106" s="97">
        <f t="shared" si="45"/>
        <v>-250.7</v>
      </c>
    </row>
    <row r="107" spans="1:12" ht="40.5">
      <c r="A107" s="17" t="s">
        <v>216</v>
      </c>
      <c r="B107" s="37" t="s">
        <v>213</v>
      </c>
      <c r="C107" s="155">
        <v>5000</v>
      </c>
      <c r="D107" s="38">
        <v>5791.7</v>
      </c>
      <c r="E107" s="38">
        <v>0</v>
      </c>
      <c r="F107" s="38">
        <v>0</v>
      </c>
      <c r="G107" s="38">
        <v>0</v>
      </c>
      <c r="H107" s="98">
        <f>G107/$G$161</f>
        <v>0</v>
      </c>
      <c r="I107" s="141" t="str">
        <f>IF(E107=0,"0,0%",G107/E107)</f>
        <v>0,0%</v>
      </c>
      <c r="J107" s="99">
        <f t="shared" ref="J107" si="60">G107-D107</f>
        <v>-5791.7</v>
      </c>
      <c r="K107" s="98">
        <f t="shared" ref="K107" si="61">G107/D107</f>
        <v>0</v>
      </c>
      <c r="L107" s="97">
        <f t="shared" ref="L107" si="62">G107-F107</f>
        <v>0</v>
      </c>
    </row>
    <row r="108" spans="1:12" ht="27">
      <c r="A108" s="17"/>
      <c r="B108" s="37" t="s">
        <v>189</v>
      </c>
      <c r="C108" s="155">
        <v>100000</v>
      </c>
      <c r="D108" s="38">
        <v>0</v>
      </c>
      <c r="E108" s="38">
        <v>0</v>
      </c>
      <c r="F108" s="38">
        <v>0</v>
      </c>
      <c r="G108" s="38">
        <v>0</v>
      </c>
      <c r="H108" s="98">
        <f>G108/$G$161</f>
        <v>0</v>
      </c>
      <c r="I108" s="141" t="str">
        <f>IF(E108=0,"0,0%",G108/E108)</f>
        <v>0,0%</v>
      </c>
      <c r="J108" s="99">
        <f t="shared" ref="J108" si="63">G108-D108</f>
        <v>0</v>
      </c>
      <c r="K108" s="98">
        <v>0</v>
      </c>
      <c r="L108" s="97">
        <f t="shared" ref="L108" si="64">G108-F108</f>
        <v>0</v>
      </c>
    </row>
    <row r="109" spans="1:12" ht="27">
      <c r="A109" s="17" t="s">
        <v>217</v>
      </c>
      <c r="B109" s="37" t="s">
        <v>214</v>
      </c>
      <c r="C109" s="155">
        <v>1670.3</v>
      </c>
      <c r="D109" s="38">
        <v>2330.1</v>
      </c>
      <c r="E109" s="38">
        <v>367.5</v>
      </c>
      <c r="F109" s="38">
        <v>927.2</v>
      </c>
      <c r="G109" s="38">
        <v>362.5</v>
      </c>
      <c r="H109" s="98">
        <f>G109/$G$161</f>
        <v>1E-3</v>
      </c>
      <c r="I109" s="141">
        <f>IF(E109=0,"0,0%",G109/E109)</f>
        <v>0.98599999999999999</v>
      </c>
      <c r="J109" s="99">
        <f t="shared" ref="J109:J110" si="65">G109-D109</f>
        <v>-1967.6</v>
      </c>
      <c r="K109" s="98">
        <f t="shared" ref="K109:K110" si="66">G109/D109</f>
        <v>0.156</v>
      </c>
      <c r="L109" s="97">
        <f t="shared" ref="L109:L110" si="67">G109-F109</f>
        <v>-564.70000000000005</v>
      </c>
    </row>
    <row r="110" spans="1:12">
      <c r="A110" s="17" t="s">
        <v>190</v>
      </c>
      <c r="B110" s="10" t="s">
        <v>191</v>
      </c>
      <c r="C110" s="119">
        <v>0</v>
      </c>
      <c r="D110" s="29">
        <v>69.7</v>
      </c>
      <c r="E110" s="29">
        <v>0</v>
      </c>
      <c r="F110" s="29">
        <v>0</v>
      </c>
      <c r="G110" s="29">
        <v>0</v>
      </c>
      <c r="H110" s="98">
        <f>G110/$G$161</f>
        <v>0</v>
      </c>
      <c r="I110" s="141" t="str">
        <f>IF(E110=0,"0,0%",G110/E110)</f>
        <v>0,0%</v>
      </c>
      <c r="J110" s="99">
        <f t="shared" si="65"/>
        <v>-69.7</v>
      </c>
      <c r="K110" s="98">
        <f t="shared" si="66"/>
        <v>0</v>
      </c>
      <c r="L110" s="97">
        <f t="shared" si="67"/>
        <v>0</v>
      </c>
    </row>
    <row r="111" spans="1:12" hidden="1">
      <c r="A111" s="17"/>
      <c r="B111" s="10" t="s">
        <v>27</v>
      </c>
      <c r="C111" s="158"/>
      <c r="D111" s="29"/>
      <c r="E111" s="7"/>
      <c r="F111" s="7"/>
      <c r="G111" s="7"/>
      <c r="H111" s="98"/>
      <c r="I111" s="98"/>
      <c r="J111" s="99"/>
      <c r="K111" s="98"/>
      <c r="L111" s="97"/>
    </row>
    <row r="112" spans="1:12" hidden="1">
      <c r="A112" s="17"/>
      <c r="B112" s="9" t="s">
        <v>111</v>
      </c>
      <c r="C112" s="119"/>
      <c r="D112" s="29"/>
      <c r="E112" s="7"/>
      <c r="F112" s="7">
        <v>11256.6</v>
      </c>
      <c r="G112" s="7"/>
      <c r="H112" s="98">
        <f>G112/$G$161</f>
        <v>0</v>
      </c>
      <c r="I112" s="141" t="str">
        <f>IF(E112=0,"0,0%",G112/E112)</f>
        <v>0,0%</v>
      </c>
      <c r="J112" s="99">
        <f t="shared" ref="J112" si="68">G112-D112</f>
        <v>0</v>
      </c>
      <c r="K112" s="98" t="e">
        <f t="shared" ref="K112" si="69">G112/D112</f>
        <v>#DIV/0!</v>
      </c>
      <c r="L112" s="97">
        <f t="shared" ref="L112" si="70">G112-F112</f>
        <v>-11256.6</v>
      </c>
    </row>
    <row r="113" spans="1:12">
      <c r="A113" s="17" t="s">
        <v>48</v>
      </c>
      <c r="B113" s="10" t="s">
        <v>49</v>
      </c>
      <c r="C113" s="119">
        <v>107132.9</v>
      </c>
      <c r="D113" s="29">
        <v>111453.7</v>
      </c>
      <c r="E113" s="29">
        <v>74519.5</v>
      </c>
      <c r="F113" s="29">
        <f>68198.1+9347</f>
        <v>77545.100000000006</v>
      </c>
      <c r="G113" s="29">
        <v>74415.8</v>
      </c>
      <c r="H113" s="98">
        <f>G113/$G$161</f>
        <v>0.17699999999999999</v>
      </c>
      <c r="I113" s="141">
        <f>IF(E113=0,"0,0%",G113/E113)</f>
        <v>0.999</v>
      </c>
      <c r="J113" s="99">
        <f t="shared" si="43"/>
        <v>-37037.9</v>
      </c>
      <c r="K113" s="98">
        <f t="shared" si="44"/>
        <v>0.66800000000000004</v>
      </c>
      <c r="L113" s="97">
        <f t="shared" si="45"/>
        <v>-3129.3</v>
      </c>
    </row>
    <row r="114" spans="1:12">
      <c r="A114" s="17"/>
      <c r="B114" s="10" t="s">
        <v>27</v>
      </c>
      <c r="C114" s="158"/>
      <c r="D114" s="29"/>
      <c r="E114" s="7"/>
      <c r="F114" s="7"/>
      <c r="G114" s="7"/>
      <c r="H114" s="98"/>
      <c r="I114" s="98"/>
      <c r="J114" s="99"/>
      <c r="K114" s="98"/>
      <c r="L114" s="97"/>
    </row>
    <row r="115" spans="1:12">
      <c r="A115" s="17"/>
      <c r="B115" s="9" t="s">
        <v>111</v>
      </c>
      <c r="C115" s="119">
        <v>60324.2</v>
      </c>
      <c r="D115" s="29">
        <f>60324.2+170.8</f>
        <v>60495</v>
      </c>
      <c r="E115" s="7">
        <f>170.8+41823.7</f>
        <v>41994.5</v>
      </c>
      <c r="F115" s="7">
        <f>17896.9+18502.3+773.8+2008.9+2878.1</f>
        <v>42060</v>
      </c>
      <c r="G115" s="7">
        <v>41961</v>
      </c>
      <c r="H115" s="98">
        <f t="shared" ref="H115:H121" si="71">G115/$G$161</f>
        <v>0.1</v>
      </c>
      <c r="I115" s="141">
        <f t="shared" ref="I115:I121" si="72">IF(E115=0,"0,0%",G115/E115)</f>
        <v>0.999</v>
      </c>
      <c r="J115" s="99">
        <f t="shared" si="43"/>
        <v>-18534</v>
      </c>
      <c r="K115" s="98">
        <f t="shared" si="44"/>
        <v>0.69399999999999995</v>
      </c>
      <c r="L115" s="97">
        <f t="shared" si="45"/>
        <v>-99</v>
      </c>
    </row>
    <row r="116" spans="1:12">
      <c r="A116" s="17"/>
      <c r="B116" s="9" t="s">
        <v>112</v>
      </c>
      <c r="C116" s="119">
        <v>29448.1</v>
      </c>
      <c r="D116" s="29">
        <v>29448.1</v>
      </c>
      <c r="E116" s="7">
        <v>19319.2</v>
      </c>
      <c r="F116" s="7">
        <f>6184.3+13347.4+2998.6</f>
        <v>22530.3</v>
      </c>
      <c r="G116" s="7">
        <v>19253</v>
      </c>
      <c r="H116" s="98">
        <f t="shared" si="71"/>
        <v>4.5999999999999999E-2</v>
      </c>
      <c r="I116" s="141">
        <f t="shared" si="72"/>
        <v>0.997</v>
      </c>
      <c r="J116" s="99">
        <f t="shared" si="43"/>
        <v>-10195.1</v>
      </c>
      <c r="K116" s="98">
        <f t="shared" si="44"/>
        <v>0.65400000000000003</v>
      </c>
      <c r="L116" s="97">
        <f t="shared" si="45"/>
        <v>-3277.3</v>
      </c>
    </row>
    <row r="117" spans="1:12">
      <c r="A117" s="17"/>
      <c r="B117" s="9" t="s">
        <v>113</v>
      </c>
      <c r="C117" s="119">
        <v>9860.4</v>
      </c>
      <c r="D117" s="29">
        <f>2641.2+7219.2</f>
        <v>9860.4</v>
      </c>
      <c r="E117" s="7">
        <v>5870.7</v>
      </c>
      <c r="F117" s="7">
        <f>2300+2592.4+736.5+96</f>
        <v>5724.9</v>
      </c>
      <c r="G117" s="7">
        <v>5868.9</v>
      </c>
      <c r="H117" s="98">
        <f t="shared" si="71"/>
        <v>1.4E-2</v>
      </c>
      <c r="I117" s="141">
        <f t="shared" si="72"/>
        <v>1</v>
      </c>
      <c r="J117" s="99">
        <f t="shared" si="43"/>
        <v>-3991.5</v>
      </c>
      <c r="K117" s="98">
        <f t="shared" si="44"/>
        <v>0.59499999999999997</v>
      </c>
      <c r="L117" s="97">
        <f t="shared" si="45"/>
        <v>144</v>
      </c>
    </row>
    <row r="118" spans="1:12" ht="27">
      <c r="A118" s="17"/>
      <c r="B118" s="9" t="s">
        <v>114</v>
      </c>
      <c r="C118" s="119">
        <v>7500.2</v>
      </c>
      <c r="D118" s="29">
        <v>11650.2</v>
      </c>
      <c r="E118" s="7">
        <v>7335.1</v>
      </c>
      <c r="F118" s="7">
        <f>2434.6+3484.4+500+6+585.5</f>
        <v>7010.5</v>
      </c>
      <c r="G118" s="7">
        <v>7332.9</v>
      </c>
      <c r="H118" s="98">
        <f t="shared" si="71"/>
        <v>1.7000000000000001E-2</v>
      </c>
      <c r="I118" s="141">
        <f t="shared" si="72"/>
        <v>1</v>
      </c>
      <c r="J118" s="99">
        <f t="shared" si="43"/>
        <v>-4317.3</v>
      </c>
      <c r="K118" s="98">
        <f t="shared" si="44"/>
        <v>0.629</v>
      </c>
      <c r="L118" s="97">
        <f t="shared" si="45"/>
        <v>322.39999999999998</v>
      </c>
    </row>
    <row r="119" spans="1:12" s="1" customFormat="1" ht="27">
      <c r="A119" s="17" t="s">
        <v>65</v>
      </c>
      <c r="B119" s="9" t="s">
        <v>66</v>
      </c>
      <c r="C119" s="119">
        <v>0</v>
      </c>
      <c r="D119" s="29">
        <f>D120+D121</f>
        <v>1769.2</v>
      </c>
      <c r="E119" s="7">
        <f>E120+E121</f>
        <v>1383.1</v>
      </c>
      <c r="F119" s="7">
        <f>11706.9+516.8</f>
        <v>12223.7</v>
      </c>
      <c r="G119" s="7">
        <v>1383.1</v>
      </c>
      <c r="H119" s="98">
        <f t="shared" si="71"/>
        <v>3.0000000000000001E-3</v>
      </c>
      <c r="I119" s="141">
        <f t="shared" si="72"/>
        <v>1</v>
      </c>
      <c r="J119" s="99">
        <f t="shared" si="43"/>
        <v>-386.1</v>
      </c>
      <c r="K119" s="98">
        <f t="shared" si="44"/>
        <v>0.78200000000000003</v>
      </c>
      <c r="L119" s="97">
        <f t="shared" si="45"/>
        <v>-10840.6</v>
      </c>
    </row>
    <row r="120" spans="1:12" s="1" customFormat="1">
      <c r="A120" s="17"/>
      <c r="B120" s="9" t="s">
        <v>215</v>
      </c>
      <c r="C120" s="119">
        <v>0</v>
      </c>
      <c r="D120" s="29">
        <v>798.8</v>
      </c>
      <c r="E120" s="7">
        <v>798.8</v>
      </c>
      <c r="F120" s="7">
        <v>0</v>
      </c>
      <c r="G120" s="7">
        <v>798.8</v>
      </c>
      <c r="H120" s="98">
        <f t="shared" ref="H120" si="73">G120/$G$161</f>
        <v>2E-3</v>
      </c>
      <c r="I120" s="141">
        <f t="shared" ref="I120" si="74">IF(E120=0,"0,0%",G120/E120)</f>
        <v>1</v>
      </c>
      <c r="J120" s="99">
        <f t="shared" si="43"/>
        <v>0</v>
      </c>
      <c r="K120" s="98">
        <f t="shared" si="44"/>
        <v>1</v>
      </c>
      <c r="L120" s="97">
        <f t="shared" si="45"/>
        <v>798.8</v>
      </c>
    </row>
    <row r="121" spans="1:12" s="1" customFormat="1">
      <c r="A121" s="17"/>
      <c r="B121" s="9" t="s">
        <v>239</v>
      </c>
      <c r="C121" s="119">
        <v>0</v>
      </c>
      <c r="D121" s="29">
        <v>970.4</v>
      </c>
      <c r="E121" s="7">
        <v>584.29999999999995</v>
      </c>
      <c r="F121" s="7">
        <v>275.10000000000002</v>
      </c>
      <c r="G121" s="7">
        <v>584.29999999999995</v>
      </c>
      <c r="H121" s="98">
        <f t="shared" si="71"/>
        <v>1E-3</v>
      </c>
      <c r="I121" s="141">
        <f t="shared" si="72"/>
        <v>1</v>
      </c>
      <c r="J121" s="99">
        <f t="shared" ref="J121" si="75">G121-D121</f>
        <v>-386.1</v>
      </c>
      <c r="K121" s="98">
        <f t="shared" ref="K121" si="76">G121/D121</f>
        <v>0.60199999999999998</v>
      </c>
      <c r="L121" s="97">
        <f t="shared" ref="L121" si="77">G121-F121</f>
        <v>309.2</v>
      </c>
    </row>
    <row r="122" spans="1:12">
      <c r="A122" s="124"/>
      <c r="B122" s="125" t="s">
        <v>157</v>
      </c>
      <c r="C122" s="125"/>
      <c r="D122" s="126"/>
      <c r="E122" s="126"/>
      <c r="F122" s="126"/>
      <c r="G122" s="126"/>
      <c r="H122" s="98"/>
      <c r="I122" s="98"/>
      <c r="J122" s="99"/>
      <c r="K122" s="98"/>
      <c r="L122" s="97"/>
    </row>
    <row r="123" spans="1:12" ht="27" hidden="1">
      <c r="A123" s="116"/>
      <c r="B123" s="117" t="s">
        <v>117</v>
      </c>
      <c r="C123" s="118">
        <v>0</v>
      </c>
      <c r="D123" s="126">
        <v>702.2</v>
      </c>
      <c r="E123" s="126">
        <v>702.2</v>
      </c>
      <c r="F123" s="126">
        <v>6651</v>
      </c>
      <c r="G123" s="126">
        <v>702.2</v>
      </c>
      <c r="H123" s="98">
        <f t="shared" ref="H123:H129" si="78">G123/$G$161</f>
        <v>2E-3</v>
      </c>
      <c r="I123" s="141">
        <f t="shared" ref="I123:I129" si="79">IF(E123=0,"0,0%",G123/E123)</f>
        <v>1</v>
      </c>
      <c r="J123" s="99">
        <f>G123-D123</f>
        <v>0</v>
      </c>
      <c r="K123" s="98">
        <v>0</v>
      </c>
      <c r="L123" s="97">
        <f>G123-F123</f>
        <v>-5948.8</v>
      </c>
    </row>
    <row r="124" spans="1:12" s="166" customFormat="1" hidden="1">
      <c r="A124" s="168"/>
      <c r="B124" s="169" t="s">
        <v>173</v>
      </c>
      <c r="C124" s="170"/>
      <c r="D124" s="170"/>
      <c r="E124" s="170"/>
      <c r="F124" s="126">
        <v>0</v>
      </c>
      <c r="G124" s="170">
        <v>0</v>
      </c>
      <c r="H124" s="163">
        <f>G124/$G$161</f>
        <v>0</v>
      </c>
      <c r="I124" s="167" t="str">
        <f>IF(E124=0,"0,0%",G124/E124)</f>
        <v>0,0%</v>
      </c>
      <c r="J124" s="164">
        <f>G124-D124</f>
        <v>0</v>
      </c>
      <c r="K124" s="163" t="e">
        <f>G124/D124</f>
        <v>#DIV/0!</v>
      </c>
      <c r="L124" s="165">
        <f>G124-F124</f>
        <v>0</v>
      </c>
    </row>
    <row r="125" spans="1:12">
      <c r="A125" s="116"/>
      <c r="B125" s="133" t="s">
        <v>188</v>
      </c>
      <c r="C125" s="119">
        <v>211162</v>
      </c>
      <c r="D125" s="131">
        <v>120397.2</v>
      </c>
      <c r="E125" s="131">
        <v>52944</v>
      </c>
      <c r="F125" s="126">
        <f>1343.1+927.1+219.3</f>
        <v>2489.5</v>
      </c>
      <c r="G125" s="131">
        <v>74460.899999999994</v>
      </c>
      <c r="H125" s="98">
        <f t="shared" si="78"/>
        <v>0.17699999999999999</v>
      </c>
      <c r="I125" s="141">
        <f t="shared" si="79"/>
        <v>1.4059999999999999</v>
      </c>
      <c r="J125" s="99">
        <f>G125-D125</f>
        <v>-45936.3</v>
      </c>
      <c r="K125" s="98">
        <f>G125/D125</f>
        <v>0.61799999999999999</v>
      </c>
      <c r="L125" s="97">
        <f>G125-F125</f>
        <v>71971.399999999994</v>
      </c>
    </row>
    <row r="126" spans="1:12" s="27" customFormat="1">
      <c r="A126" s="84" t="s">
        <v>130</v>
      </c>
      <c r="B126" s="92" t="s">
        <v>129</v>
      </c>
      <c r="C126" s="86">
        <f>C127</f>
        <v>20423.900000000001</v>
      </c>
      <c r="D126" s="183">
        <f>D127</f>
        <v>13921.5</v>
      </c>
      <c r="E126" s="183">
        <f>E127</f>
        <v>9563.4</v>
      </c>
      <c r="F126" s="86">
        <f>F127</f>
        <v>12593.2</v>
      </c>
      <c r="G126" s="183">
        <f>G127</f>
        <v>9033.7999999999993</v>
      </c>
      <c r="H126" s="87">
        <f t="shared" si="78"/>
        <v>2.1999999999999999E-2</v>
      </c>
      <c r="I126" s="141">
        <f t="shared" si="79"/>
        <v>0.94499999999999995</v>
      </c>
      <c r="J126" s="88">
        <f t="shared" si="43"/>
        <v>-4887.7</v>
      </c>
      <c r="K126" s="87">
        <f t="shared" si="44"/>
        <v>0.64900000000000002</v>
      </c>
      <c r="L126" s="89">
        <f t="shared" si="45"/>
        <v>-3559.4</v>
      </c>
    </row>
    <row r="127" spans="1:12" s="44" customFormat="1">
      <c r="A127" s="121" t="s">
        <v>51</v>
      </c>
      <c r="B127" s="122" t="s">
        <v>60</v>
      </c>
      <c r="C127" s="113">
        <f>C128+C129+214.3</f>
        <v>20423.900000000001</v>
      </c>
      <c r="D127" s="186">
        <f>D128+D129</f>
        <v>13921.5</v>
      </c>
      <c r="E127" s="186">
        <f>E128+E129</f>
        <v>9563.4</v>
      </c>
      <c r="F127" s="113">
        <f>F128+F129</f>
        <v>12593.2</v>
      </c>
      <c r="G127" s="186">
        <f>G128+G129</f>
        <v>9033.7999999999993</v>
      </c>
      <c r="H127" s="98">
        <f t="shared" si="78"/>
        <v>2.1999999999999999E-2</v>
      </c>
      <c r="I127" s="141">
        <f t="shared" si="79"/>
        <v>0.94499999999999995</v>
      </c>
      <c r="J127" s="99">
        <f t="shared" si="43"/>
        <v>-4887.7</v>
      </c>
      <c r="K127" s="98">
        <f t="shared" si="44"/>
        <v>0.64900000000000002</v>
      </c>
      <c r="L127" s="97">
        <f t="shared" si="45"/>
        <v>-3559.4</v>
      </c>
    </row>
    <row r="128" spans="1:12" ht="54">
      <c r="A128" s="18"/>
      <c r="B128" s="9" t="s">
        <v>115</v>
      </c>
      <c r="C128" s="118">
        <v>15912.8</v>
      </c>
      <c r="D128" s="7">
        <v>11823</v>
      </c>
      <c r="E128" s="7">
        <v>7990.2</v>
      </c>
      <c r="F128" s="7">
        <f>6405.3+3300.5+0.2</f>
        <v>9706</v>
      </c>
      <c r="G128" s="7">
        <v>7823</v>
      </c>
      <c r="H128" s="98">
        <f t="shared" si="78"/>
        <v>1.9E-2</v>
      </c>
      <c r="I128" s="141">
        <f t="shared" si="79"/>
        <v>0.97899999999999998</v>
      </c>
      <c r="J128" s="99">
        <f t="shared" si="43"/>
        <v>-4000</v>
      </c>
      <c r="K128" s="98">
        <f t="shared" si="44"/>
        <v>0.66200000000000003</v>
      </c>
      <c r="L128" s="97">
        <f t="shared" si="45"/>
        <v>-1883</v>
      </c>
    </row>
    <row r="129" spans="1:12" ht="27">
      <c r="A129" s="18"/>
      <c r="B129" s="9" t="s">
        <v>116</v>
      </c>
      <c r="C129" s="118">
        <v>4296.8</v>
      </c>
      <c r="D129" s="7">
        <v>2098.5</v>
      </c>
      <c r="E129" s="7">
        <v>1573.2</v>
      </c>
      <c r="F129" s="7">
        <f>2880.8+6.4</f>
        <v>2887.2</v>
      </c>
      <c r="G129" s="7">
        <v>1210.8</v>
      </c>
      <c r="H129" s="98">
        <f t="shared" si="78"/>
        <v>3.0000000000000001E-3</v>
      </c>
      <c r="I129" s="141">
        <f t="shared" si="79"/>
        <v>0.77</v>
      </c>
      <c r="J129" s="99">
        <f t="shared" si="43"/>
        <v>-887.7</v>
      </c>
      <c r="K129" s="98">
        <f t="shared" si="44"/>
        <v>0.57699999999999996</v>
      </c>
      <c r="L129" s="97">
        <f t="shared" si="45"/>
        <v>-1676.4</v>
      </c>
    </row>
    <row r="130" spans="1:12">
      <c r="A130" s="124"/>
      <c r="B130" s="125" t="s">
        <v>158</v>
      </c>
      <c r="C130" s="125"/>
      <c r="D130" s="126"/>
      <c r="E130" s="126"/>
      <c r="F130" s="126"/>
      <c r="G130" s="126"/>
      <c r="H130" s="98"/>
      <c r="I130" s="98"/>
      <c r="J130" s="99"/>
      <c r="K130" s="98"/>
      <c r="L130" s="97"/>
    </row>
    <row r="131" spans="1:12" ht="27">
      <c r="A131" s="116"/>
      <c r="B131" s="117" t="s">
        <v>117</v>
      </c>
      <c r="C131" s="118">
        <v>12808.1</v>
      </c>
      <c r="D131" s="126">
        <v>9625.1</v>
      </c>
      <c r="E131" s="126">
        <v>7322</v>
      </c>
      <c r="F131" s="126">
        <f>5771+3205</f>
        <v>8976</v>
      </c>
      <c r="G131" s="126">
        <v>7322</v>
      </c>
      <c r="H131" s="98">
        <f t="shared" ref="H131:H137" si="80">G131/$G$161</f>
        <v>1.7000000000000001E-2</v>
      </c>
      <c r="I131" s="141">
        <f t="shared" ref="I131:I137" si="81">IF(E131=0,"0,0%",G131/E131)</f>
        <v>1</v>
      </c>
      <c r="J131" s="99">
        <f>G131-D131</f>
        <v>-2303.1</v>
      </c>
      <c r="K131" s="98">
        <f>G131/D131</f>
        <v>0.76100000000000001</v>
      </c>
      <c r="L131" s="97">
        <f>G131-F131</f>
        <v>-1654</v>
      </c>
    </row>
    <row r="132" spans="1:12">
      <c r="A132" s="116"/>
      <c r="B132" s="117" t="s">
        <v>121</v>
      </c>
      <c r="C132" s="118">
        <v>1531.5</v>
      </c>
      <c r="D132" s="126">
        <v>1115</v>
      </c>
      <c r="E132" s="126">
        <v>324</v>
      </c>
      <c r="F132" s="126">
        <f>389.7+39.6</f>
        <v>429.3</v>
      </c>
      <c r="G132" s="126">
        <v>324</v>
      </c>
      <c r="H132" s="98">
        <f t="shared" si="80"/>
        <v>1E-3</v>
      </c>
      <c r="I132" s="141">
        <f t="shared" si="81"/>
        <v>1</v>
      </c>
      <c r="J132" s="99">
        <f>G132-D132</f>
        <v>-791</v>
      </c>
      <c r="K132" s="98">
        <f>G132/D132</f>
        <v>0.29099999999999998</v>
      </c>
      <c r="L132" s="97">
        <f>G132-F132</f>
        <v>-105.3</v>
      </c>
    </row>
    <row r="133" spans="1:12">
      <c r="A133" s="116"/>
      <c r="B133" s="133" t="s">
        <v>188</v>
      </c>
      <c r="C133" s="119">
        <v>3896.8</v>
      </c>
      <c r="D133" s="131">
        <v>1647.9</v>
      </c>
      <c r="E133" s="131">
        <v>1122.5999999999999</v>
      </c>
      <c r="F133" s="131">
        <v>2748.1</v>
      </c>
      <c r="G133" s="131">
        <v>778.3</v>
      </c>
      <c r="H133" s="98">
        <f t="shared" si="80"/>
        <v>2E-3</v>
      </c>
      <c r="I133" s="141">
        <f t="shared" si="81"/>
        <v>0.69299999999999995</v>
      </c>
      <c r="J133" s="99">
        <f>G133-D133</f>
        <v>-869.6</v>
      </c>
      <c r="K133" s="98">
        <f>G133/D133</f>
        <v>0.47199999999999998</v>
      </c>
      <c r="L133" s="97">
        <f>G133-F133</f>
        <v>-1969.8</v>
      </c>
    </row>
    <row r="134" spans="1:12" s="27" customFormat="1">
      <c r="A134" s="84" t="s">
        <v>69</v>
      </c>
      <c r="B134" s="90" t="s">
        <v>118</v>
      </c>
      <c r="C134" s="86">
        <f>C135+C139</f>
        <v>64580.7</v>
      </c>
      <c r="D134" s="183">
        <f>D135+D139</f>
        <v>64510.400000000001</v>
      </c>
      <c r="E134" s="183">
        <f>E135+E139</f>
        <v>41127.599999999999</v>
      </c>
      <c r="F134" s="86">
        <f>F135+F139</f>
        <v>45466.2</v>
      </c>
      <c r="G134" s="183">
        <f>G135+G139</f>
        <v>40126</v>
      </c>
      <c r="H134" s="87">
        <f t="shared" si="80"/>
        <v>9.6000000000000002E-2</v>
      </c>
      <c r="I134" s="141">
        <f t="shared" si="81"/>
        <v>0.97599999999999998</v>
      </c>
      <c r="J134" s="88">
        <f t="shared" si="43"/>
        <v>-24384.400000000001</v>
      </c>
      <c r="K134" s="87">
        <f t="shared" si="44"/>
        <v>0.622</v>
      </c>
      <c r="L134" s="89">
        <f t="shared" si="45"/>
        <v>-5340.2</v>
      </c>
    </row>
    <row r="135" spans="1:12" s="44" customFormat="1">
      <c r="A135" s="121" t="s">
        <v>71</v>
      </c>
      <c r="B135" s="122" t="s">
        <v>70</v>
      </c>
      <c r="C135" s="123">
        <f>C136+C137+1127.8</f>
        <v>64035.3</v>
      </c>
      <c r="D135" s="187">
        <f>D136+D137</f>
        <v>64392.2</v>
      </c>
      <c r="E135" s="187">
        <f>E136+E137</f>
        <v>41009.4</v>
      </c>
      <c r="F135" s="123">
        <f>F136+F137</f>
        <v>40140.9</v>
      </c>
      <c r="G135" s="187">
        <f>G136+G137</f>
        <v>40007.800000000003</v>
      </c>
      <c r="H135" s="98">
        <f t="shared" si="80"/>
        <v>9.5000000000000001E-2</v>
      </c>
      <c r="I135" s="141">
        <f t="shared" si="81"/>
        <v>0.97599999999999998</v>
      </c>
      <c r="J135" s="99">
        <f t="shared" ref="J135:J158" si="82">G135-D135</f>
        <v>-24384.400000000001</v>
      </c>
      <c r="K135" s="98">
        <f t="shared" ref="K135:K158" si="83">G135/D135</f>
        <v>0.621</v>
      </c>
      <c r="L135" s="97">
        <f t="shared" ref="L135:L158" si="84">G135-F135</f>
        <v>-133.1</v>
      </c>
    </row>
    <row r="136" spans="1:12" ht="54">
      <c r="A136" s="18"/>
      <c r="B136" s="9" t="s">
        <v>115</v>
      </c>
      <c r="C136" s="118">
        <v>57655.5</v>
      </c>
      <c r="D136" s="7">
        <v>59292.5</v>
      </c>
      <c r="E136" s="7">
        <v>39791.9</v>
      </c>
      <c r="F136" s="7">
        <f>20457.4+15859.8</f>
        <v>36317.199999999997</v>
      </c>
      <c r="G136" s="7">
        <v>38790.9</v>
      </c>
      <c r="H136" s="98">
        <f t="shared" si="80"/>
        <v>9.1999999999999998E-2</v>
      </c>
      <c r="I136" s="141">
        <f t="shared" si="81"/>
        <v>0.97499999999999998</v>
      </c>
      <c r="J136" s="99">
        <f t="shared" si="82"/>
        <v>-20501.599999999999</v>
      </c>
      <c r="K136" s="98">
        <f t="shared" si="83"/>
        <v>0.65400000000000003</v>
      </c>
      <c r="L136" s="97">
        <f t="shared" si="84"/>
        <v>2473.6999999999998</v>
      </c>
    </row>
    <row r="137" spans="1:12" ht="27">
      <c r="A137" s="18"/>
      <c r="B137" s="9" t="s">
        <v>238</v>
      </c>
      <c r="C137" s="118">
        <f>5252</f>
        <v>5252</v>
      </c>
      <c r="D137" s="7">
        <f>4999.7+100</f>
        <v>5099.7</v>
      </c>
      <c r="E137" s="7">
        <v>1217.5</v>
      </c>
      <c r="F137" s="7">
        <f>3347.7+476</f>
        <v>3823.7</v>
      </c>
      <c r="G137" s="7">
        <v>1216.9000000000001</v>
      </c>
      <c r="H137" s="98">
        <f t="shared" si="80"/>
        <v>3.0000000000000001E-3</v>
      </c>
      <c r="I137" s="141">
        <f t="shared" si="81"/>
        <v>1</v>
      </c>
      <c r="J137" s="99">
        <f t="shared" si="82"/>
        <v>-3882.8</v>
      </c>
      <c r="K137" s="98">
        <f t="shared" si="83"/>
        <v>0.23899999999999999</v>
      </c>
      <c r="L137" s="97">
        <f t="shared" si="84"/>
        <v>-2606.8000000000002</v>
      </c>
    </row>
    <row r="138" spans="1:12" hidden="1">
      <c r="A138" s="18"/>
      <c r="B138" s="10" t="s">
        <v>119</v>
      </c>
      <c r="C138" s="118"/>
      <c r="D138" s="7"/>
      <c r="E138" s="7"/>
      <c r="F138" s="7"/>
      <c r="G138" s="7"/>
      <c r="H138" s="98"/>
      <c r="I138" s="98"/>
      <c r="J138" s="99"/>
      <c r="K138" s="98"/>
      <c r="L138" s="97"/>
    </row>
    <row r="139" spans="1:12" s="44" customFormat="1" ht="27">
      <c r="A139" s="17" t="s">
        <v>87</v>
      </c>
      <c r="B139" s="20" t="s">
        <v>120</v>
      </c>
      <c r="C139" s="156">
        <v>545.4</v>
      </c>
      <c r="D139" s="22">
        <v>118.2</v>
      </c>
      <c r="E139" s="38">
        <v>118.2</v>
      </c>
      <c r="F139" s="38">
        <v>5325.3</v>
      </c>
      <c r="G139" s="38">
        <v>118.2</v>
      </c>
      <c r="H139" s="98">
        <f>G139/$G$161</f>
        <v>0</v>
      </c>
      <c r="I139" s="141">
        <f>IF(E139=0,"0,0%",G139/E139)</f>
        <v>1</v>
      </c>
      <c r="J139" s="99">
        <f t="shared" si="82"/>
        <v>0</v>
      </c>
      <c r="K139" s="98">
        <f t="shared" si="83"/>
        <v>1</v>
      </c>
      <c r="L139" s="97">
        <f t="shared" si="84"/>
        <v>-5207.1000000000004</v>
      </c>
    </row>
    <row r="140" spans="1:12">
      <c r="A140" s="124"/>
      <c r="B140" s="125" t="s">
        <v>159</v>
      </c>
      <c r="C140" s="125"/>
      <c r="D140" s="126"/>
      <c r="E140" s="126"/>
      <c r="F140" s="126"/>
      <c r="G140" s="126"/>
      <c r="H140" s="98"/>
      <c r="I140" s="98"/>
      <c r="J140" s="99"/>
      <c r="K140" s="98"/>
      <c r="L140" s="97"/>
    </row>
    <row r="141" spans="1:12" ht="27">
      <c r="A141" s="124"/>
      <c r="B141" s="117" t="s">
        <v>117</v>
      </c>
      <c r="C141" s="118">
        <v>47202.1</v>
      </c>
      <c r="D141" s="126">
        <v>47202.1</v>
      </c>
      <c r="E141" s="126">
        <v>34212.6</v>
      </c>
      <c r="F141" s="126">
        <f>21374.6+14103.2</f>
        <v>35477.800000000003</v>
      </c>
      <c r="G141" s="126">
        <v>33212.300000000003</v>
      </c>
      <c r="H141" s="98">
        <f t="shared" ref="H141:H151" si="85">G141/$G$161</f>
        <v>7.9000000000000001E-2</v>
      </c>
      <c r="I141" s="141">
        <f t="shared" ref="I141:I150" si="86">IF(E141=0,"0,0%",G141/E141)</f>
        <v>0.97099999999999997</v>
      </c>
      <c r="J141" s="99">
        <f>G141-D141</f>
        <v>-13989.8</v>
      </c>
      <c r="K141" s="98">
        <f>G141/D141</f>
        <v>0.70399999999999996</v>
      </c>
      <c r="L141" s="97">
        <f>G141-F141</f>
        <v>-2265.5</v>
      </c>
    </row>
    <row r="142" spans="1:12">
      <c r="A142" s="116"/>
      <c r="B142" s="117" t="s">
        <v>121</v>
      </c>
      <c r="C142" s="118">
        <v>7040.9</v>
      </c>
      <c r="D142" s="126">
        <v>7040.9</v>
      </c>
      <c r="E142" s="126">
        <v>4108.3</v>
      </c>
      <c r="F142" s="126">
        <f>2362.3+875.8</f>
        <v>3238.1</v>
      </c>
      <c r="G142" s="126">
        <v>4108.1000000000004</v>
      </c>
      <c r="H142" s="98">
        <f t="shared" si="85"/>
        <v>0.01</v>
      </c>
      <c r="I142" s="141">
        <f t="shared" si="86"/>
        <v>1</v>
      </c>
      <c r="J142" s="99">
        <f>G142-D142</f>
        <v>-2932.8</v>
      </c>
      <c r="K142" s="98">
        <f>G142/D142</f>
        <v>0.58299999999999996</v>
      </c>
      <c r="L142" s="97">
        <f>G142-F142</f>
        <v>870</v>
      </c>
    </row>
    <row r="143" spans="1:12">
      <c r="A143" s="116"/>
      <c r="B143" s="133" t="s">
        <v>188</v>
      </c>
      <c r="C143" s="119">
        <v>3652</v>
      </c>
      <c r="D143" s="131">
        <v>3652</v>
      </c>
      <c r="E143" s="131">
        <v>596.1</v>
      </c>
      <c r="F143" s="131">
        <v>2578.1</v>
      </c>
      <c r="G143" s="131">
        <v>596</v>
      </c>
      <c r="H143" s="98">
        <f t="shared" si="85"/>
        <v>1E-3</v>
      </c>
      <c r="I143" s="141">
        <f t="shared" si="86"/>
        <v>1</v>
      </c>
      <c r="J143" s="99">
        <f>G143-D143</f>
        <v>-3056</v>
      </c>
      <c r="K143" s="98">
        <f>G143/D143</f>
        <v>0.16300000000000001</v>
      </c>
      <c r="L143" s="97">
        <f>G143-F143</f>
        <v>-1982.1</v>
      </c>
    </row>
    <row r="144" spans="1:12" s="27" customFormat="1">
      <c r="A144" s="84" t="s">
        <v>122</v>
      </c>
      <c r="B144" s="90" t="s">
        <v>123</v>
      </c>
      <c r="C144" s="86">
        <f>C145+C146</f>
        <v>592.70000000000005</v>
      </c>
      <c r="D144" s="183">
        <f>D145+D146</f>
        <v>592.70000000000005</v>
      </c>
      <c r="E144" s="183">
        <f>E145+E146</f>
        <v>389.6</v>
      </c>
      <c r="F144" s="86">
        <f>F145+F146</f>
        <v>665.5</v>
      </c>
      <c r="G144" s="183">
        <f>G145+G146</f>
        <v>389.6</v>
      </c>
      <c r="H144" s="87">
        <f t="shared" si="85"/>
        <v>1E-3</v>
      </c>
      <c r="I144" s="141">
        <f t="shared" si="86"/>
        <v>1</v>
      </c>
      <c r="J144" s="88">
        <f t="shared" si="82"/>
        <v>-203.1</v>
      </c>
      <c r="K144" s="87">
        <f t="shared" si="83"/>
        <v>0.65700000000000003</v>
      </c>
      <c r="L144" s="89">
        <f t="shared" si="84"/>
        <v>-275.89999999999998</v>
      </c>
    </row>
    <row r="145" spans="1:12" s="44" customFormat="1">
      <c r="A145" s="17" t="s">
        <v>72</v>
      </c>
      <c r="B145" s="20" t="s">
        <v>73</v>
      </c>
      <c r="C145" s="155">
        <v>592.70000000000005</v>
      </c>
      <c r="D145" s="38">
        <v>592.70000000000005</v>
      </c>
      <c r="E145" s="38">
        <v>389.6</v>
      </c>
      <c r="F145" s="38">
        <f>176.1+106</f>
        <v>282.10000000000002</v>
      </c>
      <c r="G145" s="38">
        <v>389.6</v>
      </c>
      <c r="H145" s="98">
        <f t="shared" si="85"/>
        <v>1E-3</v>
      </c>
      <c r="I145" s="141">
        <f t="shared" si="86"/>
        <v>1</v>
      </c>
      <c r="J145" s="99">
        <f t="shared" si="82"/>
        <v>-203.1</v>
      </c>
      <c r="K145" s="98">
        <f t="shared" si="83"/>
        <v>0.65700000000000003</v>
      </c>
      <c r="L145" s="97">
        <f t="shared" si="84"/>
        <v>107.5</v>
      </c>
    </row>
    <row r="146" spans="1:12" s="44" customFormat="1">
      <c r="A146" s="17" t="s">
        <v>67</v>
      </c>
      <c r="B146" s="20" t="s">
        <v>68</v>
      </c>
      <c r="C146" s="155">
        <v>0</v>
      </c>
      <c r="D146" s="38">
        <v>0</v>
      </c>
      <c r="E146" s="38">
        <v>0</v>
      </c>
      <c r="F146" s="38">
        <f>258+125.4</f>
        <v>383.4</v>
      </c>
      <c r="G146" s="38">
        <v>0</v>
      </c>
      <c r="H146" s="98">
        <f t="shared" si="85"/>
        <v>0</v>
      </c>
      <c r="I146" s="141" t="str">
        <f t="shared" si="86"/>
        <v>0,0%</v>
      </c>
      <c r="J146" s="99">
        <f t="shared" si="82"/>
        <v>0</v>
      </c>
      <c r="K146" s="98">
        <v>0</v>
      </c>
      <c r="L146" s="97">
        <f t="shared" si="84"/>
        <v>-383.4</v>
      </c>
    </row>
    <row r="147" spans="1:12" s="27" customFormat="1">
      <c r="A147" s="84" t="s">
        <v>124</v>
      </c>
      <c r="B147" s="90" t="s">
        <v>57</v>
      </c>
      <c r="C147" s="89">
        <f>C148+C152</f>
        <v>6671.4</v>
      </c>
      <c r="D147" s="185">
        <f>D148+D151</f>
        <v>13229.9</v>
      </c>
      <c r="E147" s="185">
        <f t="shared" ref="E147:G147" si="87">E148</f>
        <v>7401.3</v>
      </c>
      <c r="F147" s="89">
        <f t="shared" si="87"/>
        <v>3400.1</v>
      </c>
      <c r="G147" s="185">
        <f t="shared" si="87"/>
        <v>7341.6</v>
      </c>
      <c r="H147" s="87">
        <f t="shared" si="85"/>
        <v>1.7000000000000001E-2</v>
      </c>
      <c r="I147" s="141">
        <f t="shared" si="86"/>
        <v>0.99199999999999999</v>
      </c>
      <c r="J147" s="88">
        <f t="shared" si="82"/>
        <v>-5888.3</v>
      </c>
      <c r="K147" s="87">
        <f t="shared" si="83"/>
        <v>0.55500000000000005</v>
      </c>
      <c r="L147" s="89">
        <f t="shared" si="84"/>
        <v>3941.5</v>
      </c>
    </row>
    <row r="148" spans="1:12" s="44" customFormat="1">
      <c r="A148" s="17" t="s">
        <v>88</v>
      </c>
      <c r="B148" s="36" t="s">
        <v>192</v>
      </c>
      <c r="C148" s="155">
        <f>C149+C150+96.6</f>
        <v>4667.1000000000004</v>
      </c>
      <c r="D148" s="38">
        <f>D149+D150</f>
        <v>11225.6</v>
      </c>
      <c r="E148" s="38">
        <f>E149+E150+E151</f>
        <v>7401.3</v>
      </c>
      <c r="F148" s="38">
        <v>3400.1</v>
      </c>
      <c r="G148" s="38">
        <f>G149+G150+G151</f>
        <v>7341.6</v>
      </c>
      <c r="H148" s="98">
        <f t="shared" si="85"/>
        <v>1.7000000000000001E-2</v>
      </c>
      <c r="I148" s="141">
        <f t="shared" si="86"/>
        <v>0.99199999999999999</v>
      </c>
      <c r="J148" s="99">
        <f t="shared" si="82"/>
        <v>-3884</v>
      </c>
      <c r="K148" s="98">
        <f t="shared" si="83"/>
        <v>0.65400000000000003</v>
      </c>
      <c r="L148" s="97">
        <f t="shared" si="84"/>
        <v>3941.5</v>
      </c>
    </row>
    <row r="149" spans="1:12" ht="54">
      <c r="A149" s="18"/>
      <c r="B149" s="9" t="s">
        <v>115</v>
      </c>
      <c r="C149" s="118">
        <v>4047.1</v>
      </c>
      <c r="D149" s="7">
        <v>8423.2000000000007</v>
      </c>
      <c r="E149" s="7">
        <v>5773</v>
      </c>
      <c r="F149" s="7">
        <v>2866.7</v>
      </c>
      <c r="G149" s="7">
        <v>5773</v>
      </c>
      <c r="H149" s="98">
        <f t="shared" si="85"/>
        <v>1.4E-2</v>
      </c>
      <c r="I149" s="141">
        <f t="shared" si="86"/>
        <v>1</v>
      </c>
      <c r="J149" s="99">
        <f t="shared" si="82"/>
        <v>-2650.2</v>
      </c>
      <c r="K149" s="98">
        <f t="shared" si="83"/>
        <v>0.68500000000000005</v>
      </c>
      <c r="L149" s="97">
        <f t="shared" si="84"/>
        <v>2906.3</v>
      </c>
    </row>
    <row r="150" spans="1:12" ht="27">
      <c r="A150" s="18"/>
      <c r="B150" s="9" t="s">
        <v>116</v>
      </c>
      <c r="C150" s="118">
        <v>523.4</v>
      </c>
      <c r="D150" s="7">
        <v>2802.4</v>
      </c>
      <c r="E150" s="7">
        <v>737.9</v>
      </c>
      <c r="F150" s="7">
        <v>276.8</v>
      </c>
      <c r="G150" s="7">
        <v>680.1</v>
      </c>
      <c r="H150" s="98">
        <f t="shared" si="85"/>
        <v>2E-3</v>
      </c>
      <c r="I150" s="141">
        <f t="shared" si="86"/>
        <v>0.92200000000000004</v>
      </c>
      <c r="J150" s="99">
        <f t="shared" si="82"/>
        <v>-2122.3000000000002</v>
      </c>
      <c r="K150" s="98">
        <f t="shared" si="83"/>
        <v>0.24299999999999999</v>
      </c>
      <c r="L150" s="97">
        <f t="shared" si="84"/>
        <v>403.3</v>
      </c>
    </row>
    <row r="151" spans="1:12">
      <c r="A151" s="18"/>
      <c r="B151" s="9" t="s">
        <v>240</v>
      </c>
      <c r="C151" s="118"/>
      <c r="D151" s="7">
        <v>2004.3</v>
      </c>
      <c r="E151" s="7">
        <v>890.4</v>
      </c>
      <c r="F151" s="7"/>
      <c r="G151" s="7">
        <v>888.5</v>
      </c>
      <c r="H151" s="98">
        <f t="shared" si="85"/>
        <v>2E-3</v>
      </c>
      <c r="I151" s="141"/>
      <c r="J151" s="99"/>
      <c r="K151" s="98"/>
      <c r="L151" s="97"/>
    </row>
    <row r="152" spans="1:12" s="44" customFormat="1" ht="27">
      <c r="A152" s="17" t="s">
        <v>193</v>
      </c>
      <c r="B152" s="36" t="s">
        <v>194</v>
      </c>
      <c r="C152" s="155">
        <v>2004.3</v>
      </c>
      <c r="D152" s="38">
        <v>0</v>
      </c>
      <c r="E152" s="38">
        <v>0</v>
      </c>
      <c r="F152" s="7">
        <v>256.60000000000002</v>
      </c>
      <c r="G152" s="38">
        <v>0</v>
      </c>
      <c r="H152" s="98">
        <f t="shared" ref="H152" si="88">G152/$G$161</f>
        <v>0</v>
      </c>
      <c r="I152" s="141" t="str">
        <f t="shared" ref="I152" si="89">IF(E152=0,"0,0%",G152/E152)</f>
        <v>0,0%</v>
      </c>
      <c r="J152" s="99">
        <f t="shared" ref="J152" si="90">G152-D152</f>
        <v>0</v>
      </c>
      <c r="K152" s="98">
        <v>0</v>
      </c>
      <c r="L152" s="97">
        <f t="shared" ref="L152" si="91">G152-F152</f>
        <v>-256.60000000000002</v>
      </c>
    </row>
    <row r="153" spans="1:12">
      <c r="A153" s="124"/>
      <c r="B153" s="125" t="s">
        <v>160</v>
      </c>
      <c r="C153" s="125"/>
      <c r="D153" s="126"/>
      <c r="E153" s="126"/>
      <c r="F153" s="126"/>
      <c r="G153" s="126"/>
      <c r="H153" s="98"/>
      <c r="I153" s="98"/>
      <c r="J153" s="99"/>
      <c r="K153" s="98"/>
      <c r="L153" s="97"/>
    </row>
    <row r="154" spans="1:12" ht="27">
      <c r="A154" s="124"/>
      <c r="B154" s="117" t="s">
        <v>117</v>
      </c>
      <c r="C154" s="118">
        <v>3452.8</v>
      </c>
      <c r="D154" s="126">
        <v>6635.9</v>
      </c>
      <c r="E154" s="126">
        <v>2671.2</v>
      </c>
      <c r="F154" s="126">
        <v>2421.6999999999998</v>
      </c>
      <c r="G154" s="126">
        <v>4765.7</v>
      </c>
      <c r="H154" s="98">
        <f t="shared" ref="H154:H161" si="92">G154/$G$161</f>
        <v>1.0999999999999999E-2</v>
      </c>
      <c r="I154" s="141">
        <f t="shared" ref="I154:I161" si="93">IF(E154=0,"0,0%",G154/E154)</f>
        <v>1.784</v>
      </c>
      <c r="J154" s="99">
        <f>G154-D154</f>
        <v>-1870.2</v>
      </c>
      <c r="K154" s="98">
        <f>G154/D154</f>
        <v>0.71799999999999997</v>
      </c>
      <c r="L154" s="97">
        <f>G154-F154</f>
        <v>2344</v>
      </c>
    </row>
    <row r="155" spans="1:12">
      <c r="A155" s="116"/>
      <c r="B155" s="117" t="s">
        <v>121</v>
      </c>
      <c r="C155" s="118">
        <v>446.4</v>
      </c>
      <c r="D155" s="126">
        <v>919.7</v>
      </c>
      <c r="E155" s="126">
        <v>711.3</v>
      </c>
      <c r="F155" s="126">
        <v>337.7</v>
      </c>
      <c r="G155" s="126">
        <v>808.1</v>
      </c>
      <c r="H155" s="98">
        <f t="shared" si="92"/>
        <v>2E-3</v>
      </c>
      <c r="I155" s="141">
        <f t="shared" si="93"/>
        <v>1.1359999999999999</v>
      </c>
      <c r="J155" s="99">
        <f>G155-D155</f>
        <v>-111.6</v>
      </c>
      <c r="K155" s="98">
        <f>G155/D155</f>
        <v>0.879</v>
      </c>
      <c r="L155" s="97">
        <f>G155-F155</f>
        <v>470.4</v>
      </c>
    </row>
    <row r="156" spans="1:12">
      <c r="A156" s="116"/>
      <c r="B156" s="133" t="s">
        <v>188</v>
      </c>
      <c r="C156" s="119">
        <v>2527.6999999999998</v>
      </c>
      <c r="D156" s="131">
        <f>3256.4+1520.3</f>
        <v>4776.7</v>
      </c>
      <c r="E156" s="131">
        <v>1092.7</v>
      </c>
      <c r="F156" s="131">
        <v>533.4</v>
      </c>
      <c r="G156" s="131">
        <f>1010.5+528.1</f>
        <v>1538.6</v>
      </c>
      <c r="H156" s="98">
        <f t="shared" si="92"/>
        <v>4.0000000000000001E-3</v>
      </c>
      <c r="I156" s="141">
        <f t="shared" si="93"/>
        <v>1.4079999999999999</v>
      </c>
      <c r="J156" s="99">
        <f>G156-D156</f>
        <v>-3238.1</v>
      </c>
      <c r="K156" s="98">
        <f>G156/D156</f>
        <v>0.32200000000000001</v>
      </c>
      <c r="L156" s="97">
        <f>G156-F156</f>
        <v>1005.2</v>
      </c>
    </row>
    <row r="157" spans="1:12" s="27" customFormat="1" ht="27">
      <c r="A157" s="93">
        <v>1300</v>
      </c>
      <c r="B157" s="90" t="s">
        <v>125</v>
      </c>
      <c r="C157" s="89">
        <f>C158</f>
        <v>5207.7</v>
      </c>
      <c r="D157" s="89">
        <f>D158</f>
        <v>7892</v>
      </c>
      <c r="E157" s="185">
        <f>E158</f>
        <v>5554.5</v>
      </c>
      <c r="F157" s="89">
        <f>F158</f>
        <v>3220.9</v>
      </c>
      <c r="G157" s="185">
        <f>G158</f>
        <v>5553.7</v>
      </c>
      <c r="H157" s="87">
        <f t="shared" si="92"/>
        <v>1.2999999999999999E-2</v>
      </c>
      <c r="I157" s="141">
        <f t="shared" si="93"/>
        <v>1</v>
      </c>
      <c r="J157" s="88">
        <f t="shared" si="82"/>
        <v>-2338.3000000000002</v>
      </c>
      <c r="K157" s="87">
        <f t="shared" si="83"/>
        <v>0.70399999999999996</v>
      </c>
      <c r="L157" s="89">
        <f t="shared" si="84"/>
        <v>2332.8000000000002</v>
      </c>
    </row>
    <row r="158" spans="1:12" s="44" customFormat="1" ht="27">
      <c r="A158" s="17" t="s">
        <v>85</v>
      </c>
      <c r="B158" s="36" t="s">
        <v>126</v>
      </c>
      <c r="C158" s="155">
        <v>5207.7</v>
      </c>
      <c r="D158" s="38">
        <v>7892</v>
      </c>
      <c r="E158" s="38">
        <v>5554.5</v>
      </c>
      <c r="F158" s="38">
        <v>3220.9</v>
      </c>
      <c r="G158" s="38">
        <v>5553.7</v>
      </c>
      <c r="H158" s="98">
        <f t="shared" si="92"/>
        <v>1.2999999999999999E-2</v>
      </c>
      <c r="I158" s="141">
        <f t="shared" si="93"/>
        <v>1</v>
      </c>
      <c r="J158" s="99">
        <f t="shared" si="82"/>
        <v>-2338.3000000000002</v>
      </c>
      <c r="K158" s="98">
        <f t="shared" si="83"/>
        <v>0.70399999999999996</v>
      </c>
      <c r="L158" s="97">
        <f t="shared" si="84"/>
        <v>2332.8000000000002</v>
      </c>
    </row>
    <row r="159" spans="1:12" s="27" customFormat="1" ht="40.5">
      <c r="A159" s="93">
        <v>1400</v>
      </c>
      <c r="B159" s="90" t="s">
        <v>196</v>
      </c>
      <c r="C159" s="89">
        <f>C160</f>
        <v>15771.5</v>
      </c>
      <c r="D159" s="89">
        <f>D160</f>
        <v>130555.5</v>
      </c>
      <c r="E159" s="185">
        <f>E160</f>
        <v>26900</v>
      </c>
      <c r="F159" s="89">
        <f>F160</f>
        <v>0</v>
      </c>
      <c r="G159" s="185">
        <f>G160</f>
        <v>26900</v>
      </c>
      <c r="H159" s="87">
        <f t="shared" si="92"/>
        <v>6.4000000000000001E-2</v>
      </c>
      <c r="I159" s="141">
        <f t="shared" ref="I159:I160" si="94">IF(E159=0,"0,0%",G159/E159)</f>
        <v>1</v>
      </c>
      <c r="J159" s="88">
        <f t="shared" ref="J159:J160" si="95">G159-D159</f>
        <v>-103655.5</v>
      </c>
      <c r="K159" s="87">
        <f t="shared" ref="K159:K160" si="96">G159/D159</f>
        <v>0.20599999999999999</v>
      </c>
      <c r="L159" s="89">
        <f t="shared" ref="L159:L160" si="97">G159-F159</f>
        <v>26900</v>
      </c>
    </row>
    <row r="160" spans="1:12" s="44" customFormat="1" ht="27">
      <c r="A160" s="17" t="s">
        <v>195</v>
      </c>
      <c r="B160" s="36" t="s">
        <v>197</v>
      </c>
      <c r="C160" s="155">
        <v>15771.5</v>
      </c>
      <c r="D160" s="38">
        <v>130555.5</v>
      </c>
      <c r="E160" s="38">
        <v>26900</v>
      </c>
      <c r="F160" s="38">
        <v>0</v>
      </c>
      <c r="G160" s="38">
        <v>26900</v>
      </c>
      <c r="H160" s="98">
        <f t="shared" si="92"/>
        <v>6.4000000000000001E-2</v>
      </c>
      <c r="I160" s="141">
        <f t="shared" si="94"/>
        <v>1</v>
      </c>
      <c r="J160" s="99">
        <f t="shared" si="95"/>
        <v>-103655.5</v>
      </c>
      <c r="K160" s="98">
        <f t="shared" si="96"/>
        <v>0.20599999999999999</v>
      </c>
      <c r="L160" s="97">
        <f t="shared" si="97"/>
        <v>26900</v>
      </c>
    </row>
    <row r="161" spans="1:12" s="27" customFormat="1" ht="16.5">
      <c r="A161" s="84"/>
      <c r="B161" s="94" t="s">
        <v>62</v>
      </c>
      <c r="C161" s="89">
        <f>C55+C77+C84+C103+C126+C134+C144+C147+C157+C159</f>
        <v>599541.4</v>
      </c>
      <c r="D161" s="89">
        <f t="shared" ref="D161:E161" si="98">D55+D77+D84+D103+D126+D134+D144+D147+D157+D159</f>
        <v>717175.3</v>
      </c>
      <c r="E161" s="185">
        <f t="shared" si="98"/>
        <v>431706.3</v>
      </c>
      <c r="F161" s="89">
        <f>F55+F77+F84+F103+F126+F134+F144+F147+F157+F159+F74</f>
        <v>487561.9</v>
      </c>
      <c r="G161" s="89">
        <f>G55+G77+G84+G103+G126+G134+G144+G147+G157+G159</f>
        <v>419908.6</v>
      </c>
      <c r="H161" s="87">
        <f t="shared" si="92"/>
        <v>1</v>
      </c>
      <c r="I161" s="141">
        <f t="shared" si="93"/>
        <v>0.97299999999999998</v>
      </c>
      <c r="J161" s="89">
        <f>J55+J77+J84+J103+J126+J134+J144+J147+J157</f>
        <v>-193611.2</v>
      </c>
      <c r="K161" s="87">
        <f>G161/D161</f>
        <v>0.58599999999999997</v>
      </c>
      <c r="L161" s="89">
        <f>G161-F161</f>
        <v>-67653.3</v>
      </c>
    </row>
    <row r="162" spans="1:12" s="1" customFormat="1" ht="16.5">
      <c r="A162" s="33"/>
      <c r="B162" s="76"/>
      <c r="C162" s="159"/>
      <c r="D162" s="193"/>
      <c r="E162" s="204"/>
      <c r="F162" s="208"/>
      <c r="G162" s="193"/>
      <c r="H162" s="110"/>
      <c r="I162" s="140"/>
      <c r="J162" s="111"/>
      <c r="K162" s="110"/>
      <c r="L162" s="112"/>
    </row>
    <row r="163" spans="1:12">
      <c r="A163" s="19"/>
      <c r="B163" s="6" t="s">
        <v>76</v>
      </c>
      <c r="C163" s="225">
        <f>C52-C161</f>
        <v>0</v>
      </c>
      <c r="D163" s="227">
        <f>D52-D161</f>
        <v>-27628.9</v>
      </c>
      <c r="E163" s="227">
        <f>E52-E161</f>
        <v>-27628.9</v>
      </c>
      <c r="F163" s="227">
        <f>F52-F161</f>
        <v>-20221.2</v>
      </c>
      <c r="G163" s="227">
        <f>G52-G161</f>
        <v>-23693.5</v>
      </c>
      <c r="H163" s="217">
        <f>G163/G163</f>
        <v>1</v>
      </c>
      <c r="I163" s="140"/>
      <c r="J163" s="219">
        <f t="shared" ref="J163:J169" si="99">G163-D163</f>
        <v>3935.4</v>
      </c>
      <c r="K163" s="217">
        <f>G163/D163</f>
        <v>0.85799999999999998</v>
      </c>
      <c r="L163" s="222">
        <f>G163-F163</f>
        <v>-3472.3</v>
      </c>
    </row>
    <row r="164" spans="1:12">
      <c r="A164" s="19"/>
      <c r="B164" s="6" t="s">
        <v>77</v>
      </c>
      <c r="C164" s="226"/>
      <c r="D164" s="228"/>
      <c r="E164" s="228"/>
      <c r="F164" s="228"/>
      <c r="G164" s="228"/>
      <c r="H164" s="218"/>
      <c r="I164" s="141" t="str">
        <f>IF(E164=0,"0,0%",G164/E164)</f>
        <v>0,0%</v>
      </c>
      <c r="J164" s="220"/>
      <c r="K164" s="218"/>
      <c r="L164" s="223"/>
    </row>
    <row r="165" spans="1:12" ht="27">
      <c r="A165" s="19"/>
      <c r="B165" s="6" t="s">
        <v>78</v>
      </c>
      <c r="C165" s="157">
        <f>C166+C169</f>
        <v>0</v>
      </c>
      <c r="D165" s="5">
        <f>D166+D169</f>
        <v>27628.9</v>
      </c>
      <c r="E165" s="5">
        <f>E166+E169</f>
        <v>27628.9</v>
      </c>
      <c r="F165" s="5">
        <f>F166+F169</f>
        <v>20221.2</v>
      </c>
      <c r="G165" s="5">
        <f>G166+G169</f>
        <v>23693.5</v>
      </c>
      <c r="H165" s="87">
        <f>G165/G165</f>
        <v>1</v>
      </c>
      <c r="I165" s="141">
        <f>IF(E165=0,"0,0%",G165/E165)</f>
        <v>0.85799999999999998</v>
      </c>
      <c r="J165" s="88">
        <f t="shared" si="99"/>
        <v>-3935.4</v>
      </c>
      <c r="K165" s="87">
        <f t="shared" ref="K165:K171" si="100">G165/D165</f>
        <v>0.85799999999999998</v>
      </c>
      <c r="L165" s="89">
        <f>G165-F165</f>
        <v>3472.3</v>
      </c>
    </row>
    <row r="166" spans="1:12" ht="27">
      <c r="A166" s="45" t="s">
        <v>95</v>
      </c>
      <c r="B166" s="77" t="s">
        <v>96</v>
      </c>
      <c r="C166" s="160">
        <f>C167+C168</f>
        <v>0</v>
      </c>
      <c r="D166" s="39">
        <f>D167+D168</f>
        <v>20000</v>
      </c>
      <c r="E166" s="39">
        <f t="shared" ref="E166:G166" si="101">E167+E168</f>
        <v>20000</v>
      </c>
      <c r="F166" s="39">
        <f t="shared" si="101"/>
        <v>17000</v>
      </c>
      <c r="G166" s="39">
        <f t="shared" si="101"/>
        <v>20000</v>
      </c>
      <c r="H166" s="87">
        <v>0</v>
      </c>
      <c r="I166" s="87">
        <v>0</v>
      </c>
      <c r="J166" s="88">
        <f t="shared" si="99"/>
        <v>0</v>
      </c>
      <c r="K166" s="87">
        <v>0</v>
      </c>
      <c r="L166" s="113">
        <f>G166-F166</f>
        <v>3000</v>
      </c>
    </row>
    <row r="167" spans="1:12" s="44" customFormat="1" ht="40.5">
      <c r="A167" s="18" t="s">
        <v>91</v>
      </c>
      <c r="B167" s="78" t="s">
        <v>92</v>
      </c>
      <c r="C167" s="155">
        <v>60000</v>
      </c>
      <c r="D167" s="38">
        <v>80000</v>
      </c>
      <c r="E167" s="38">
        <v>50000</v>
      </c>
      <c r="F167" s="38">
        <v>20000</v>
      </c>
      <c r="G167" s="38">
        <v>50000</v>
      </c>
      <c r="H167" s="87">
        <v>0</v>
      </c>
      <c r="I167" s="87">
        <v>0</v>
      </c>
      <c r="J167" s="108">
        <f t="shared" si="99"/>
        <v>-30000</v>
      </c>
      <c r="K167" s="107">
        <f t="shared" si="100"/>
        <v>0.625</v>
      </c>
      <c r="L167" s="113">
        <f>G167-F167</f>
        <v>30000</v>
      </c>
    </row>
    <row r="168" spans="1:12" s="44" customFormat="1" ht="40.5">
      <c r="A168" s="18" t="s">
        <v>93</v>
      </c>
      <c r="B168" s="78" t="s">
        <v>94</v>
      </c>
      <c r="C168" s="155">
        <v>-60000</v>
      </c>
      <c r="D168" s="38">
        <v>-60000</v>
      </c>
      <c r="E168" s="38">
        <v>-30000</v>
      </c>
      <c r="F168" s="38">
        <v>-3000</v>
      </c>
      <c r="G168" s="38">
        <v>-30000</v>
      </c>
      <c r="H168" s="87">
        <v>0</v>
      </c>
      <c r="I168" s="87">
        <v>0</v>
      </c>
      <c r="J168" s="108">
        <f t="shared" si="99"/>
        <v>30000</v>
      </c>
      <c r="K168" s="107">
        <f t="shared" si="100"/>
        <v>0.5</v>
      </c>
      <c r="L168" s="113">
        <f>G168-F168</f>
        <v>-27000</v>
      </c>
    </row>
    <row r="169" spans="1:12" ht="27">
      <c r="A169" s="45" t="s">
        <v>97</v>
      </c>
      <c r="B169" s="77" t="s">
        <v>98</v>
      </c>
      <c r="C169" s="160">
        <f>C170+C171</f>
        <v>0</v>
      </c>
      <c r="D169" s="39">
        <f>D170+D171</f>
        <v>7628.9</v>
      </c>
      <c r="E169" s="39">
        <f>E170+E171</f>
        <v>7628.9</v>
      </c>
      <c r="F169" s="39">
        <f>F170+F171</f>
        <v>3221.2</v>
      </c>
      <c r="G169" s="39">
        <f>G170+G171</f>
        <v>3693.5</v>
      </c>
      <c r="H169" s="87">
        <f>G165/G169</f>
        <v>6.415</v>
      </c>
      <c r="I169" s="87">
        <v>0</v>
      </c>
      <c r="J169" s="88">
        <f t="shared" si="99"/>
        <v>-3935.4</v>
      </c>
      <c r="K169" s="87">
        <f t="shared" si="100"/>
        <v>0.48399999999999999</v>
      </c>
      <c r="L169" s="109">
        <f>G169-F169</f>
        <v>472.3</v>
      </c>
    </row>
    <row r="170" spans="1:12" ht="27">
      <c r="A170" s="17" t="s">
        <v>99</v>
      </c>
      <c r="B170" s="8" t="s">
        <v>58</v>
      </c>
      <c r="C170" s="155">
        <v>0</v>
      </c>
      <c r="D170" s="38">
        <v>0</v>
      </c>
      <c r="E170" s="38">
        <v>0</v>
      </c>
      <c r="F170" s="38">
        <v>-490228.5</v>
      </c>
      <c r="G170" s="38">
        <v>-446428.6</v>
      </c>
      <c r="H170" s="87">
        <f t="shared" ref="H170:H171" si="102">G166/G170</f>
        <v>-4.4999999999999998E-2</v>
      </c>
      <c r="I170" s="87">
        <v>0</v>
      </c>
      <c r="J170" s="99">
        <f>G170-D170</f>
        <v>-446428.6</v>
      </c>
      <c r="K170" s="98">
        <v>0</v>
      </c>
      <c r="L170" s="97">
        <f>-(L52)</f>
        <v>71125.600000000006</v>
      </c>
    </row>
    <row r="171" spans="1:12" ht="27">
      <c r="A171" s="17" t="s">
        <v>100</v>
      </c>
      <c r="B171" s="8" t="s">
        <v>59</v>
      </c>
      <c r="C171" s="155">
        <v>0</v>
      </c>
      <c r="D171" s="38">
        <v>7628.9</v>
      </c>
      <c r="E171" s="38">
        <v>7628.9</v>
      </c>
      <c r="F171" s="38">
        <v>493449.7</v>
      </c>
      <c r="G171" s="38">
        <v>450122.1</v>
      </c>
      <c r="H171" s="87">
        <f t="shared" si="102"/>
        <v>0.111</v>
      </c>
      <c r="I171" s="87">
        <v>0</v>
      </c>
      <c r="J171" s="99">
        <f>G171-D171</f>
        <v>442493.2</v>
      </c>
      <c r="K171" s="98">
        <f t="shared" si="100"/>
        <v>59.002000000000002</v>
      </c>
      <c r="L171" s="97">
        <f>L161</f>
        <v>-67653.3</v>
      </c>
    </row>
    <row r="172" spans="1:12" hidden="1">
      <c r="A172" s="18" t="s">
        <v>10</v>
      </c>
      <c r="B172" s="11" t="s">
        <v>9</v>
      </c>
      <c r="C172" s="161"/>
      <c r="D172" s="202"/>
      <c r="E172" s="7" t="s">
        <v>10</v>
      </c>
      <c r="F172" s="7"/>
      <c r="G172" s="7"/>
      <c r="H172" s="98"/>
      <c r="I172" s="98"/>
      <c r="J172" s="99"/>
      <c r="K172" s="98"/>
      <c r="L172" s="97"/>
    </row>
    <row r="173" spans="1:12" ht="27" hidden="1">
      <c r="A173" s="95"/>
      <c r="B173" s="96" t="s">
        <v>162</v>
      </c>
      <c r="C173" s="97">
        <f>C71+C123+C131+C141+C154</f>
        <v>77201.100000000006</v>
      </c>
      <c r="D173" s="7">
        <f>D71+D123+D131+D141+D154</f>
        <v>79448</v>
      </c>
      <c r="E173" s="7">
        <f>E71+E123+E131+E141+E154</f>
        <v>54777.9</v>
      </c>
      <c r="F173" s="7">
        <f>F71+F123+F131+F141+F154</f>
        <v>94206.6</v>
      </c>
      <c r="G173" s="7">
        <f>G71+G123+G131+G141+G154</f>
        <v>55870.2</v>
      </c>
      <c r="H173" s="107">
        <f t="shared" ref="H173:H178" si="103">G173/$G$161</f>
        <v>0.13300000000000001</v>
      </c>
      <c r="I173" s="141">
        <f t="shared" ref="I173:I178" si="104">IF(E173=0,"0,0%",G173/E173)</f>
        <v>1.02</v>
      </c>
      <c r="J173" s="108">
        <f t="shared" ref="J173:J178" si="105">G173-D173</f>
        <v>-23577.8</v>
      </c>
      <c r="K173" s="107">
        <f t="shared" ref="K173:K178" si="106">G173/D173</f>
        <v>0.70299999999999996</v>
      </c>
      <c r="L173" s="113">
        <f t="shared" ref="L173:L178" si="107">G173-F173</f>
        <v>-38336.400000000001</v>
      </c>
    </row>
    <row r="174" spans="1:12" hidden="1">
      <c r="A174" s="95" t="s">
        <v>10</v>
      </c>
      <c r="B174" s="96" t="s">
        <v>161</v>
      </c>
      <c r="C174" s="97"/>
      <c r="D174" s="7">
        <f>D71+114.7</f>
        <v>15397.4</v>
      </c>
      <c r="E174" s="7">
        <f>E71+114.7</f>
        <v>9984.6</v>
      </c>
      <c r="F174" s="7"/>
      <c r="G174" s="7">
        <f>G71+114.7</f>
        <v>9982.7000000000007</v>
      </c>
      <c r="H174" s="107">
        <f t="shared" si="103"/>
        <v>2.4E-2</v>
      </c>
      <c r="I174" s="141">
        <f t="shared" si="104"/>
        <v>1</v>
      </c>
      <c r="J174" s="108">
        <f t="shared" si="105"/>
        <v>-5414.7</v>
      </c>
      <c r="K174" s="107">
        <f t="shared" si="106"/>
        <v>0.64800000000000002</v>
      </c>
      <c r="L174" s="113">
        <f t="shared" si="107"/>
        <v>9982.7000000000007</v>
      </c>
    </row>
    <row r="175" spans="1:12" ht="27" hidden="1">
      <c r="A175" s="95"/>
      <c r="B175" s="96" t="s">
        <v>204</v>
      </c>
      <c r="C175" s="97">
        <f>C154+C141+C131</f>
        <v>63463</v>
      </c>
      <c r="D175" s="7">
        <f>D154+D141+D131</f>
        <v>63463.1</v>
      </c>
      <c r="E175" s="7">
        <f t="shared" ref="E175:F175" si="108">E154+E141+E131</f>
        <v>44205.8</v>
      </c>
      <c r="F175" s="7">
        <f t="shared" si="108"/>
        <v>46875.5</v>
      </c>
      <c r="G175" s="7">
        <f>G154+G141+G131</f>
        <v>45300</v>
      </c>
      <c r="H175" s="107">
        <f t="shared" si="103"/>
        <v>0.108</v>
      </c>
      <c r="I175" s="141">
        <f t="shared" si="104"/>
        <v>1.0249999999999999</v>
      </c>
      <c r="J175" s="108">
        <f t="shared" si="105"/>
        <v>-18163.099999999999</v>
      </c>
      <c r="K175" s="107">
        <f t="shared" si="106"/>
        <v>0.71399999999999997</v>
      </c>
      <c r="L175" s="113">
        <f t="shared" si="107"/>
        <v>-1575.5</v>
      </c>
    </row>
    <row r="176" spans="1:12" hidden="1">
      <c r="A176" s="95" t="s">
        <v>10</v>
      </c>
      <c r="B176" s="96" t="s">
        <v>121</v>
      </c>
      <c r="C176" s="97">
        <f>C72+C132+C142+C155</f>
        <v>9018.7999999999993</v>
      </c>
      <c r="D176" s="7">
        <f>D72+D132+D142+D155</f>
        <v>9313.2000000000007</v>
      </c>
      <c r="E176" s="7">
        <f>E72+E132+E142+E155</f>
        <v>5381.2</v>
      </c>
      <c r="F176" s="7">
        <f>F72+F132+F142+F155</f>
        <v>6433.3</v>
      </c>
      <c r="G176" s="7">
        <f>G72+G132+G142+G155</f>
        <v>5477.8</v>
      </c>
      <c r="H176" s="107">
        <f t="shared" si="103"/>
        <v>1.2999999999999999E-2</v>
      </c>
      <c r="I176" s="141">
        <f t="shared" si="104"/>
        <v>1.018</v>
      </c>
      <c r="J176" s="108">
        <f t="shared" si="105"/>
        <v>-3835.4</v>
      </c>
      <c r="K176" s="107">
        <f t="shared" si="106"/>
        <v>0.58799999999999997</v>
      </c>
      <c r="L176" s="113">
        <f t="shared" si="107"/>
        <v>-955.5</v>
      </c>
    </row>
    <row r="177" spans="1:12" hidden="1">
      <c r="A177" s="95" t="s">
        <v>10</v>
      </c>
      <c r="B177" s="100" t="s">
        <v>84</v>
      </c>
      <c r="C177" s="118"/>
      <c r="D177" s="7"/>
      <c r="E177" s="7"/>
      <c r="F177" s="7"/>
      <c r="G177" s="7"/>
      <c r="H177" s="107">
        <f t="shared" si="103"/>
        <v>0</v>
      </c>
      <c r="I177" s="141" t="str">
        <f t="shared" si="104"/>
        <v>0,0%</v>
      </c>
      <c r="J177" s="108">
        <f t="shared" si="105"/>
        <v>0</v>
      </c>
      <c r="K177" s="107" t="e">
        <f t="shared" si="106"/>
        <v>#DIV/0!</v>
      </c>
      <c r="L177" s="113">
        <f t="shared" si="107"/>
        <v>0</v>
      </c>
    </row>
    <row r="178" spans="1:12" hidden="1">
      <c r="A178" s="95"/>
      <c r="B178" s="100" t="s">
        <v>127</v>
      </c>
      <c r="C178" s="97">
        <f>C73+C83+C102+C125+C133+C143+C156</f>
        <v>426483.6</v>
      </c>
      <c r="D178" s="7">
        <f>D73+D83+D102+D125+D133+D143+D156</f>
        <v>369122.6</v>
      </c>
      <c r="E178" s="7">
        <f>E73+E83+E102+E125+E133+E143+E156</f>
        <v>258962.7</v>
      </c>
      <c r="F178" s="7">
        <f>F73+F83+F102+F125+F133+F143+F156</f>
        <v>19930.8</v>
      </c>
      <c r="G178" s="7">
        <f>G73+G83+G102+G125+G133+G143+G156</f>
        <v>270572.2</v>
      </c>
      <c r="H178" s="107">
        <f t="shared" si="103"/>
        <v>0.64400000000000002</v>
      </c>
      <c r="I178" s="141">
        <f t="shared" si="104"/>
        <v>1.0449999999999999</v>
      </c>
      <c r="J178" s="108">
        <f t="shared" si="105"/>
        <v>-98550.399999999994</v>
      </c>
      <c r="K178" s="107">
        <f t="shared" si="106"/>
        <v>0.73299999999999998</v>
      </c>
      <c r="L178" s="113">
        <f t="shared" si="107"/>
        <v>250641.4</v>
      </c>
    </row>
    <row r="179" spans="1:12">
      <c r="B179" s="120"/>
      <c r="C179" s="31"/>
      <c r="D179" s="32"/>
      <c r="E179" s="32"/>
      <c r="F179" s="32"/>
      <c r="G179" s="32"/>
      <c r="H179" s="34"/>
      <c r="I179" s="34"/>
      <c r="J179" s="35"/>
      <c r="K179" s="34"/>
      <c r="L179" s="32"/>
    </row>
    <row r="180" spans="1:12">
      <c r="A180" s="70"/>
      <c r="D180" s="32"/>
      <c r="H180" s="68" t="s">
        <v>10</v>
      </c>
    </row>
    <row r="181" spans="1:12">
      <c r="B181" s="79"/>
      <c r="C181" s="80"/>
      <c r="D181" s="203"/>
      <c r="E181" s="207"/>
      <c r="F181" s="41"/>
      <c r="G181" s="41"/>
      <c r="H181" s="81"/>
      <c r="I181" s="81"/>
      <c r="J181" s="81"/>
      <c r="K181" s="68" t="s">
        <v>10</v>
      </c>
      <c r="L181" s="2"/>
    </row>
    <row r="182" spans="1:12">
      <c r="B182" s="82"/>
      <c r="C182" s="82"/>
      <c r="D182" s="203"/>
      <c r="E182" s="81"/>
      <c r="F182" s="81"/>
      <c r="G182" s="81"/>
      <c r="H182" s="81"/>
      <c r="I182" s="81"/>
      <c r="J182" s="83"/>
    </row>
    <row r="185" spans="1:12">
      <c r="E185" s="68" t="s">
        <v>10</v>
      </c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1">
    <mergeCell ref="H163:H164"/>
    <mergeCell ref="J163:J164"/>
    <mergeCell ref="K163:K164"/>
    <mergeCell ref="H1:L1"/>
    <mergeCell ref="L163:L164"/>
    <mergeCell ref="A2:K2"/>
    <mergeCell ref="C163:C164"/>
    <mergeCell ref="D163:D164"/>
    <mergeCell ref="E163:E164"/>
    <mergeCell ref="G163:G164"/>
    <mergeCell ref="F163:F164"/>
  </mergeCells>
  <phoneticPr fontId="0" type="noConversion"/>
  <pageMargins left="0.27559055118110237" right="0.19685039370078741" top="0.31496062992125984" bottom="0.19685039370078741" header="0.15748031496062992" footer="0.19685039370078741"/>
  <pageSetup paperSize="9" scale="86" fitToHeight="0" orientation="landscape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gajdukovalv</cp:lastModifiedBy>
  <cp:lastPrinted>2014-10-13T12:05:43Z</cp:lastPrinted>
  <dcterms:created xsi:type="dcterms:W3CDTF">1998-04-06T06:06:47Z</dcterms:created>
  <dcterms:modified xsi:type="dcterms:W3CDTF">2014-10-13T12:05:55Z</dcterms:modified>
</cp:coreProperties>
</file>