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0" windowWidth="12120" windowHeight="9030" activeTab="0"/>
  </bookViews>
  <sheets>
    <sheet name="Анализ бюджета" sheetId="1" r:id="rId1"/>
  </sheets>
  <definedNames>
    <definedName name="Z_10971261_6A6B_11D7_802E_0050224027E0_.wvu.PrintArea" localSheetId="0" hidden="1">'Анализ бюджета'!$A$1:$L$149</definedName>
    <definedName name="Z_10971261_6A6B_11D7_802E_0050224027E0_.wvu.PrintTitles" localSheetId="0" hidden="1">'Анализ бюджета'!$4:$4</definedName>
    <definedName name="Z_14012921_CBF7_11D7_980F_000102998381_.wvu.PrintTitles" localSheetId="0" hidden="1">'Анализ бюджета'!$4:$4</definedName>
    <definedName name="Z_19D3A214_C4D6_4FE6_9A50_A9E846DFEC72_.wvu.PrintArea" localSheetId="0" hidden="1">'Анализ бюджета'!$A$1:$L$150</definedName>
    <definedName name="Z_3BEB65F8_4BF4_4F82_B550_EC5711E73FB6_.wvu.PrintArea" localSheetId="0" hidden="1">'Анализ бюджета'!$A$1:$M$150</definedName>
    <definedName name="Z_3BEB65F8_4BF4_4F82_B550_EC5711E73FB6_.wvu.PrintTitles" localSheetId="0" hidden="1">'Анализ бюджета'!$4:$5</definedName>
    <definedName name="Z_3BEB65F8_4BF4_4F82_B550_EC5711E73FB6_.wvu.Rows" localSheetId="0" hidden="1">'Анализ бюджета'!$29:$30,'Анализ бюджета'!$34:$35,'Анализ бюджета'!$103:$103</definedName>
    <definedName name="Z_4F278C51_CC0C_4908_B19B_FD853FE30C23_.wvu.PrintArea" localSheetId="0" hidden="1">'Анализ бюджета'!$A$1:$L$149</definedName>
    <definedName name="Z_4F278C51_CC0C_4908_B19B_FD853FE30C23_.wvu.PrintTitles" localSheetId="0" hidden="1">'Анализ бюджета'!$4:$4</definedName>
    <definedName name="Z_4F278C51_CC0C_4908_B19B_FD853FE30C23_.wvu.Rows" localSheetId="0" hidden="1">'Анализ бюджета'!#REF!,'Анализ бюджета'!$16:$16,'Анализ бюджета'!$18:$19,'Анализ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</definedName>
    <definedName name="Z_6B5A71DB_8104_43F2_BE21_9362D50D2638_.wvu.PrintArea" localSheetId="0" hidden="1">'Анализ бюджета'!$A$1:$M$150</definedName>
    <definedName name="Z_6B5A71DB_8104_43F2_BE21_9362D50D2638_.wvu.PrintTitles" localSheetId="0" hidden="1">'Анализ бюджета'!$4:$5</definedName>
    <definedName name="Z_6B5A71DB_8104_43F2_BE21_9362D50D2638_.wvu.Rows" localSheetId="0" hidden="1">'Анализ бюджета'!$29:$30,'Анализ бюджета'!$34:$35,'Анализ бюджета'!$103:$103</definedName>
    <definedName name="Z_735893B7_5E6F_4E87_8F79_7422E435EC59_.wvu.PrintArea" localSheetId="0" hidden="1">'Анализ бюджета'!$A$1:$L$152</definedName>
    <definedName name="Z_7BE5A02B_F350_49A6_9913_9C71C08559EF_.wvu.Rows" localSheetId="0" hidden="1">'Анализ бюджета'!#REF!</definedName>
    <definedName name="Z_88FCA060_646D_11D8_9232_00C0268CB387_.wvu.Rows" localSheetId="0" hidden="1">'Анализ бюджета'!$27:$28</definedName>
    <definedName name="Z_8F58F720_5478_11D7_8E43_00002120D636_.wvu.PrintArea" localSheetId="0" hidden="1">'Анализ бюджета'!$A$2:$L$43</definedName>
    <definedName name="Z_8F58F720_5478_11D7_8E43_00002120D636_.wvu.PrintTitles" localSheetId="0" hidden="1">'Анализ бюджета'!$4:$4</definedName>
    <definedName name="Z_92DADDC1_9BFC_11D7_B114_000102998381_.wvu.PrintTitles" localSheetId="0" hidden="1">'Анализ бюджета'!$4:$4</definedName>
    <definedName name="Z_97B5DCE1_CCA4_11D7_B6CC_0007E980B7D4_.wvu.PrintArea" localSheetId="0" hidden="1">'Анализ бюджета'!$A$1:$L$152</definedName>
    <definedName name="Z_97B5DCE1_CCA4_11D7_B6CC_0007E980B7D4_.wvu.Rows" localSheetId="0" hidden="1">'Анализ бюджета'!#REF!,'Анализ бюджета'!$27:$28</definedName>
    <definedName name="Z_A91D99C2_8122_48C0_91AB_172E51C62B1D_.wvu.PrintArea" localSheetId="0" hidden="1">'Анализ бюджета'!$A$1:$L$149</definedName>
    <definedName name="Z_A91D99C2_8122_48C0_91AB_172E51C62B1D_.wvu.Rows" localSheetId="0" hidden="1">'Анализ бюджета'!#REF!</definedName>
    <definedName name="Z_AE4F8834_9834_4486_A1C0_FEF04E11EC4A_.wvu.PrintTitles" localSheetId="0" hidden="1">'Анализ бюджета'!$4:$4</definedName>
    <definedName name="Z_B0C63354_C39E_4697_B077_F68D4BA3474A_.wvu.PrintTitles" localSheetId="0" hidden="1">'Анализ бюджета'!$4:$4</definedName>
    <definedName name="Z_C76330A2_057D_4E27_B720_532A3C304D14_.wvu.PrintArea" localSheetId="0" hidden="1">'Анализ бюджета'!$A$1:$M$150</definedName>
    <definedName name="Z_C76330A2_057D_4E27_B720_532A3C304D14_.wvu.PrintTitles" localSheetId="0" hidden="1">'Анализ бюджета'!$4:$5</definedName>
    <definedName name="Z_C76330A2_057D_4E27_B720_532A3C304D14_.wvu.Rows" localSheetId="0" hidden="1">'Анализ бюджета'!$29:$30,'Анализ бюджета'!$34:$35,'Анализ бюджета'!$103:$103</definedName>
    <definedName name="Z_CD228F81_555E_11D7_A5BE_0050BF58DBA5_.wvu.PrintTitles" localSheetId="0" hidden="1">'Анализ бюджета'!$4:$4</definedName>
    <definedName name="Z_CFB674C1_F40C_43C9_AC2B_719C7269531B_.wvu.PrintArea" localSheetId="0" hidden="1">'Анализ бюджета'!$A$1:$L$149</definedName>
    <definedName name="Z_CFB674C1_F40C_43C9_AC2B_719C7269531B_.wvu.PrintTitles" localSheetId="0" hidden="1">'Анализ бюджета'!$4:$4</definedName>
    <definedName name="Z_CFB674C1_F40C_43C9_AC2B_719C7269531B_.wvu.Rows" localSheetId="0" hidden="1">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</definedName>
    <definedName name="Z_D8CBB260_8D05_11D7_88E1_00C0268016AF_.wvu.PrintTitles" localSheetId="0" hidden="1">'Анализ бюджета'!$4:$4</definedName>
    <definedName name="Z_DCFE9E60_5475_11D7_802E_0050224027E0_.wvu.PrintTitles" localSheetId="0" hidden="1">'Анализ бюджета'!$4:$4</definedName>
    <definedName name="Z_E64E5F61_FD5E_11DA_AA5B_0004761D6C8E_.wvu.PrintArea" localSheetId="0" hidden="1">'Анализ бюджета'!$A$1:$L$149</definedName>
    <definedName name="Z_E64E5F61_FD5E_11DA_AA5B_0004761D6C8E_.wvu.PrintTitles" localSheetId="0" hidden="1">'Анализ бюджета'!$4:$4</definedName>
    <definedName name="Z_E64E5F61_FD5E_11DA_AA5B_0004761D6C8E_.wvu.Rows" localSheetId="0" hidden="1">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</definedName>
    <definedName name="Всего_доходов_2002">'Анализ бюджета'!#REF!</definedName>
    <definedName name="Всего_доходов_2003">'Анализ бюджета'!$G$42</definedName>
    <definedName name="Всего_расходов_2002">'Анализ бюджета'!#REF!</definedName>
    <definedName name="Всего_расходов_2003">'Анализ бюджета'!$G$92</definedName>
    <definedName name="_xlnm.Print_Titles" localSheetId="0">'Анализ бюджета'!$4:$5</definedName>
    <definedName name="_xlnm.Print_Area" localSheetId="0">'Анализ бюджета'!$A$1:$M$150</definedName>
  </definedNames>
  <calcPr fullCalcOnLoad="1" fullPrecision="0"/>
</workbook>
</file>

<file path=xl/sharedStrings.xml><?xml version="1.0" encoding="utf-8"?>
<sst xmlns="http://schemas.openxmlformats.org/spreadsheetml/2006/main" count="237" uniqueCount="201">
  <si>
    <t>Единый сельскохозяйственный налог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</si>
  <si>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</si>
  <si>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</si>
  <si>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000 1 17 00000 00 0000 000</t>
  </si>
  <si>
    <t xml:space="preserve">БЕЗВОЗМЕЗДНЫЕ ПОСТУПЛЕНИЯ </t>
  </si>
  <si>
    <t>ПРОЧИЕ НЕНАЛОГОВЫЕ ДОХОДЫ</t>
  </si>
  <si>
    <t>ВСЕГО ДОХОДОВ</t>
  </si>
  <si>
    <t>РАСХОДЫ</t>
  </si>
  <si>
    <t xml:space="preserve">ЖИЛИЩНО-КОММУНАЛЬНОЕ ХОЗЯЙСТВО </t>
  </si>
  <si>
    <t>СПРАВОЧНО:</t>
  </si>
  <si>
    <t xml:space="preserve"> </t>
  </si>
  <si>
    <t>Процент исполнения годового плана</t>
  </si>
  <si>
    <t>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</si>
  <si>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</si>
  <si>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</si>
  <si>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</si>
  <si>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Земельный налог</t>
  </si>
  <si>
    <t>НЕНАЛОГОВЫЕ ДОХОДЫ</t>
  </si>
  <si>
    <t>Код</t>
  </si>
  <si>
    <t>Отклонение от годового плана</t>
  </si>
  <si>
    <t>Наименование</t>
  </si>
  <si>
    <t>0100</t>
  </si>
  <si>
    <t>0500</t>
  </si>
  <si>
    <t>Резервные фонды</t>
  </si>
  <si>
    <t>0400</t>
  </si>
  <si>
    <t>ОБЩЕГОСУДАРСТВЕННЫЕ ВОПРОСЫ</t>
  </si>
  <si>
    <t>НАЦИОНАЛЬНАЯ ЭКОНОМИКА</t>
  </si>
  <si>
    <t>в том числе:</t>
  </si>
  <si>
    <t>000 1 00 00000 00 0000 000</t>
  </si>
  <si>
    <t>ДОХОДЫ</t>
  </si>
  <si>
    <t>000 1 01 00000 00 0000 000</t>
  </si>
  <si>
    <t>НАЛОГИ НА ПРИБЫЛЬ, ДОХОДЫ</t>
  </si>
  <si>
    <t>182 1 01 02000 01 0000 110</t>
  </si>
  <si>
    <t>182 1 05 03000 01 0000 110</t>
  </si>
  <si>
    <t>182 1 06 01030 10 0000 110</t>
  </si>
  <si>
    <t>182 1 06 06000 00 0000 110</t>
  </si>
  <si>
    <t>Налог на имущество физических лиц</t>
  </si>
  <si>
    <t>182 1 06 01000 00 0000 110</t>
  </si>
  <si>
    <t>182 1 06 06013 10 0000 110</t>
  </si>
  <si>
    <t>182 1 06 06023 10 0000 110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</si>
  <si>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</si>
  <si>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</si>
  <si>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</si>
  <si>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000 1 14 00000 00 0000 000</t>
  </si>
  <si>
    <t>000 1 11 00000 00 0000 000</t>
  </si>
  <si>
    <t>000 2 00 00000 00 0000 000</t>
  </si>
  <si>
    <t>000 2 02 01000 00 0000 151</t>
  </si>
  <si>
    <t>Доходы,  получаемые  в  виде  арендной  платы  за земельные участки, государственная  собственность на которые не разграничена и которые  расположены в границах поселений, а также средства от продажи права на заключение  договоров  аренды  указанных земельных участков</t>
  </si>
  <si>
    <t>Доходы    от    продажи    земельных    участков, государственная  собственность  на   которые   не разграничена и  которые  расположены  в  границах поселений</t>
  </si>
  <si>
    <t>0503</t>
  </si>
  <si>
    <t>Благоустройство</t>
  </si>
  <si>
    <t xml:space="preserve">Дотации бюджетам субъектов Российской Федерации и муниципальных образований </t>
  </si>
  <si>
    <t>Управление финансов администрации МО г. Энгельс</t>
  </si>
  <si>
    <t>0707</t>
  </si>
  <si>
    <t>0102</t>
  </si>
  <si>
    <t>0103</t>
  </si>
  <si>
    <t>0104</t>
  </si>
  <si>
    <t>0408</t>
  </si>
  <si>
    <t>Невыясненные поступления, зачисляемые в бюджеты поселений</t>
  </si>
  <si>
    <t>Дотации бюджетам поселений на выравнивание бюджетной обеспеченности за счет субвенции бюджету муниципального района на исполнение государственных полномочий по расчету и предоставлению дотаций</t>
  </si>
  <si>
    <t>104 1 11 05035 10 0000 120</t>
  </si>
  <si>
    <t>Физическая культура и спорт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</si>
  <si>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</si>
  <si>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</si>
  <si>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 xml:space="preserve"> муниципального образования город Энгельс</t>
  </si>
  <si>
    <t>Молодежная политика и оздоровление детей</t>
  </si>
  <si>
    <t>Функционирование высшего должностного лица субъекта Российской Федерации и муниципального образования</t>
  </si>
  <si>
    <t>Всего расходов</t>
  </si>
  <si>
    <t>0106</t>
  </si>
  <si>
    <t>0501</t>
  </si>
  <si>
    <t>0505</t>
  </si>
  <si>
    <t>Другие вопросы в области жилищно-коммунального хозяйства</t>
  </si>
  <si>
    <t>1003</t>
  </si>
  <si>
    <t>Социальное обеспечение населения</t>
  </si>
  <si>
    <t>0309</t>
  </si>
  <si>
    <t>0800</t>
  </si>
  <si>
    <t>Культура</t>
  </si>
  <si>
    <t>0801</t>
  </si>
  <si>
    <t>Иные межбюджетные трансферты</t>
  </si>
  <si>
    <t>1001</t>
  </si>
  <si>
    <t>Пенсионное обеспечение</t>
  </si>
  <si>
    <t xml:space="preserve">Возврат остатков субсидий, субвенций и иных межбюджетных трансфертов, имеющих целевое назначение, прошлых лет, из бюджетов поселений </t>
  </si>
  <si>
    <t>148 2 02 01001 10 0002 151</t>
  </si>
  <si>
    <t>000 2 02 04000 00 0000 151</t>
  </si>
  <si>
    <t>ПРОФИЦИТ БЮДЖЕТА (со знаком плюс)</t>
  </si>
  <si>
    <t>ДЕФИЦИТ БЮДЖЕТА (со знаком минус)</t>
  </si>
  <si>
    <t>ИСТОЧНИКИ ВНУТРЕННЕГО ФИНАНСИРОВАНИЯ ДЕФИЦИТА БЮДЖЕТА</t>
  </si>
  <si>
    <t>104 1 17 01050 10 0000 180</t>
  </si>
  <si>
    <t>149 1 11 09045 10 0000 120</t>
  </si>
  <si>
    <t xml:space="preserve">Первоначальный  годовой план 
</t>
  </si>
  <si>
    <t>2</t>
  </si>
  <si>
    <t>Жилищное хозяйство</t>
  </si>
  <si>
    <t>- межбюджетные трансферты на обеспечение деятельности аварийно-спасательного формирования - муниципального учреждения "Энгельс-Спас"</t>
  </si>
  <si>
    <t>0111</t>
  </si>
  <si>
    <t>Начальник управления финансов администрации</t>
  </si>
  <si>
    <t>Л.В. Гайдукова</t>
  </si>
  <si>
    <t xml:space="preserve">- капитальный ремонт жилого фонда за счет средств поступающих за наем муниципальных жилых помещений     </t>
  </si>
  <si>
    <t xml:space="preserve">- увеличение стоимости основных средств </t>
  </si>
  <si>
    <t>1301</t>
  </si>
  <si>
    <t>0113</t>
  </si>
  <si>
    <t>0804</t>
  </si>
  <si>
    <t>1101</t>
  </si>
  <si>
    <t>1403</t>
  </si>
  <si>
    <t>Процент 
исполнения плана 
1 квартала</t>
  </si>
  <si>
    <t>182 1 05 03010 01 0000 110</t>
  </si>
  <si>
    <t>182 1 05 03020 01 0000 110</t>
  </si>
  <si>
    <t>Единый сельскохозяйственный налог (за налоговые периоды, истекшие до 1 января 2011 года)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</si>
  <si>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</si>
  <si>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Прочие поступления  от  использования  имущества, находящегося  в   собственности  поселений  (за исключением  имущества  муниципальных  бюджетных и автономных учреждений,  а  также   имущества   муниципальных унитарных предприятий, в том числе казенных)</t>
  </si>
  <si>
    <t>01 02 00 00 10 0000 710</t>
  </si>
  <si>
    <t>Получение кредитов от кредитных организаций бюджетом поселения в валюте Российской Федерации</t>
  </si>
  <si>
    <t>01 02 00 00 10 0000 810</t>
  </si>
  <si>
    <t>Погашение бюджетом поселения кредитов от кредитных организаций в валюте Российской Федерации</t>
  </si>
  <si>
    <t>01 02 00 00 00 0000 000</t>
  </si>
  <si>
    <t>Кредиты кредитных организаций в валюте Российской Федерации</t>
  </si>
  <si>
    <t>01 05 00 00 00 0000 000</t>
  </si>
  <si>
    <t>Изменение остатков средств на счетах по учету средств бюджета</t>
  </si>
  <si>
    <t xml:space="preserve"> 01 05 02 01 10 0000 510</t>
  </si>
  <si>
    <t xml:space="preserve"> 01 05 02 01 10 0000 610</t>
  </si>
  <si>
    <t>000 1 05 00000 00 0000 000</t>
  </si>
  <si>
    <t>000 1 06 00000 00 0000 000</t>
  </si>
  <si>
    <t>План 
1 квартала
2012 года</t>
  </si>
  <si>
    <t>Отклонение 
от плана 
1 квартала
2012 года</t>
  </si>
  <si>
    <t>Уд. вес
в 2012г.</t>
  </si>
  <si>
    <t>0300</t>
  </si>
  <si>
    <t>НАЦИОНАЛЬНАЯ БЕЗОПАСНОСТЬ И ПРАВООХРАНИТЕЛЬНАЯ ДЕЯТЕЛЬНОСТЬ</t>
  </si>
  <si>
    <t>Транспорт</t>
  </si>
  <si>
    <t>0409</t>
  </si>
  <si>
    <t>Дорожное хозяйство (дорожные фонды)</t>
  </si>
  <si>
    <t>- содержание автомобильных дорог общего пользования</t>
  </si>
  <si>
    <t>- ремонт автомобильных дорог общего пользования</t>
  </si>
  <si>
    <t>- бюджетные инвестиции в объекты капитального строительства собственности муниципальных образований</t>
  </si>
  <si>
    <t>- уличное освещение</t>
  </si>
  <si>
    <t>- озеленение</t>
  </si>
  <si>
    <t>- организация и содержание мест захоронения</t>
  </si>
  <si>
    <t>- прочие мероприятия по благоустройству городских округов и поселений</t>
  </si>
  <si>
    <t>- субсидии бюджетным учреждениям на финансовое обеспечение муниципального задания на оказание муниципальных услуг (выполнение работ)</t>
  </si>
  <si>
    <t>- субсидии бюджетным учреждениям на иные цели</t>
  </si>
  <si>
    <t>- заработная плата с начислениями на оплату труда</t>
  </si>
  <si>
    <t>Культура, кинематография</t>
  </si>
  <si>
    <t>- увеличение стоимости основных средств</t>
  </si>
  <si>
    <t>Другие вопросы в области культуры, кинематографии</t>
  </si>
  <si>
    <t xml:space="preserve">- коммунальные услуги </t>
  </si>
  <si>
    <t>1000</t>
  </si>
  <si>
    <t>Социальная политика</t>
  </si>
  <si>
    <t>1100</t>
  </si>
  <si>
    <t>Физическая культура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</si>
  <si>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</si>
  <si>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</si>
  <si>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</si>
  <si>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</si>
  <si>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Прочие межбюджетные трансферты общего характера</t>
  </si>
  <si>
    <t>- межбюджетные трансферты на осуществление переданных полномочий по решению вопросов местного значения поселений по архитектуре и градостроительству</t>
  </si>
  <si>
    <t xml:space="preserve">- межбюджетные трансферты на осуществление переданных полномочий по решению вопросов местного значения поселений по по земельному контролю </t>
  </si>
  <si>
    <t>- реализация долгосрочных целевых программ</t>
  </si>
  <si>
    <t>Защита населения и территории от чрезвычайных ситуаций природного и техногенного характера, гражданская оборона</t>
  </si>
  <si>
    <t>Образование</t>
  </si>
  <si>
    <t>0700</t>
  </si>
  <si>
    <t>- субсидия на возмещение недополученных доходов в связи с применением регулируемых тарифов на пассажирские перевозки, осуществляемые горэлектротранспортом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</si>
  <si>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 также   имущества   муниципальных унитарных предприятий, в том числе казенных), в части реализации основных средств по указанному имуществу</t>
  </si>
  <si>
    <t>000 2 02 02000 00 0000 151</t>
  </si>
  <si>
    <t>Субсидии бюджетам Российской Федерации и муниципальных образований (межбюджетные субсидии)</t>
  </si>
  <si>
    <t>148 2 02 02051 10 0000 151</t>
  </si>
  <si>
    <t>Субсидии бюджетам поселений на реализацию федеральных целевых программ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</si>
  <si>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</si>
  <si>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</si>
  <si>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148 219 05000 10 0000 151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</si>
  <si>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</si>
  <si>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</si>
  <si>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</si>
  <si>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</si>
  <si>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134 1 11 05013 10 0000 120</t>
  </si>
  <si>
    <t>104 1 14 02053 10 0000 410</t>
  </si>
  <si>
    <t>134 1 14 06013 10 0000 430</t>
  </si>
  <si>
    <t>тыс.рублей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</si>
  <si>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</si>
  <si>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</si>
  <si>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0107</t>
  </si>
  <si>
    <t>Обеспечение проведения выборов и референдумов</t>
  </si>
  <si>
    <t>Анализ исполнения  бюджета муниципального образования город Энгельс за 1 квартал 2012 года</t>
  </si>
  <si>
    <t>Уточненный годовой план 
на 01.04.2012 г.</t>
  </si>
  <si>
    <t>Фактическое
исполнение
на 01.04.2011 г.</t>
  </si>
  <si>
    <t>Фактическое
исполнение
на 01.04.2012 г.</t>
  </si>
  <si>
    <t>- 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областного дорожного фонда</t>
  </si>
  <si>
    <t>- субсидия на капитальный ремонт и ремонт автомобильных дорог общего пользования населенных пунктов за счет средств областного дорожного фонда</t>
  </si>
  <si>
    <t>Сравнение исполнения на 01.04.2011 и 2012 гг.      (гр.7-гр.6)</t>
  </si>
  <si>
    <t>Субсидии бюджетам субъектов Российской Федерации и муниципальных образований (межбюджетные субсидии)</t>
  </si>
  <si>
    <t>Субсидия бюджетам поселений области на 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областного дорожного фонда</t>
  </si>
  <si>
    <t>Субсидия бюджетам поселений области на капитальный ремонт и ремонт автомобильных дорог общего пользования населенных пунктов за счет средств областного дорожного фонда</t>
  </si>
  <si>
    <t>148 2 02 02999 10 0037 151</t>
  </si>
  <si>
    <t>148 2 02 02999 10 0038 151</t>
  </si>
  <si>
    <t>Из них по разделу 0100</t>
  </si>
  <si>
    <t>Из них по разделу 0300</t>
  </si>
  <si>
    <t>Из них по разделу 0400</t>
  </si>
  <si>
    <t>Из них по разделу 0500</t>
  </si>
  <si>
    <t>Из них по разделу 0700</t>
  </si>
  <si>
    <t>Из них по разделу 0800</t>
  </si>
  <si>
    <t>Из них по разделу 1100</t>
  </si>
  <si>
    <t>- органов местного самоуправления</t>
  </si>
  <si>
    <t>- работников муниципальных учреждений</t>
  </si>
  <si>
    <t>- заработная плата с начислениями на оплату труда, из них: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</si>
</sst>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_-* #,##0.0_р_._-;\-* #,##0.0_р_._-;_-* &quot;-&quot;??_р_._-;_-@_-"/>
    <numFmt numFmtId="167" formatCode="#,##0.0"/>
    <numFmt numFmtId="168" formatCode="\+#,##0.0;\-#,##0.0"/>
    <numFmt numFmtId="169" formatCode="#,##0.00;[Red]\-#,##0.00;0.0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8"/>
      <name val="Arial Narrow"/>
      <family val="2"/>
    </font>
    <font>
      <b/>
      <i/>
      <sz val="9"/>
      <name val="Arial Narrow"/>
      <family val="2"/>
    </font>
    <font>
      <b/>
      <sz val="11"/>
      <name val="Arial Narrow"/>
      <family val="2"/>
    </font>
    <font>
      <b/>
      <u val="single"/>
      <sz val="9"/>
      <name val="Arial Narrow"/>
      <family val="2"/>
    </font>
    <font>
      <sz val="10"/>
      <name val="Arial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7"/>
      <name val="Arial Narrow"/>
      <family val="2"/>
    </font>
    <font>
      <b/>
      <sz val="7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7F9C2"/>
        <bgColor indexed="64"/>
      </patternFill>
    </fill>
    <fill>
      <patternFill patternType="solid">
        <fgColor rgb="FFB7FFC2"/>
        <bgColor indexed="64"/>
      </patternFill>
    </fill>
    <fill>
      <patternFill patternType="solid">
        <fgColor rgb="FFB7F8C2"/>
        <bgColor indexed="64"/>
      </patternFill>
    </fill>
    <fill>
      <patternFill patternType="solid">
        <fgColor rgb="FFFDE9D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hair"/>
      <right style="hair"/>
      <top style="hair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justify" vertical="center"/>
    </xf>
    <xf numFmtId="167" fontId="2" fillId="0" borderId="10" xfId="0" applyNumberFormat="1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>
      <alignment horizontal="justify" vertical="center" wrapText="1"/>
    </xf>
    <xf numFmtId="167" fontId="3" fillId="0" borderId="10" xfId="0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justify" vertical="center"/>
    </xf>
    <xf numFmtId="49" fontId="3" fillId="0" borderId="10" xfId="0" applyNumberFormat="1" applyFont="1" applyFill="1" applyBorder="1" applyAlignment="1">
      <alignment horizontal="justify" vertical="center"/>
    </xf>
    <xf numFmtId="49" fontId="3" fillId="0" borderId="10" xfId="0" applyNumberFormat="1" applyFont="1" applyFill="1" applyBorder="1" applyAlignment="1">
      <alignment horizontal="justify" vertical="center" wrapText="1"/>
    </xf>
    <xf numFmtId="0" fontId="9" fillId="0" borderId="10" xfId="0" applyNumberFormat="1" applyFont="1" applyFill="1" applyBorder="1" applyAlignment="1">
      <alignment horizontal="justify"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justify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justify" vertical="center" wrapText="1"/>
    </xf>
    <xf numFmtId="0" fontId="11" fillId="0" borderId="0" xfId="0" applyFont="1" applyFill="1" applyBorder="1" applyAlignment="1">
      <alignment horizontal="left" vertical="justify" wrapText="1"/>
    </xf>
    <xf numFmtId="164" fontId="3" fillId="0" borderId="10" xfId="57" applyNumberFormat="1" applyFont="1" applyFill="1" applyBorder="1" applyAlignment="1">
      <alignment horizontal="right" vertical="center"/>
    </xf>
    <xf numFmtId="167" fontId="3" fillId="0" borderId="10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Border="1" applyAlignment="1">
      <alignment horizontal="left" vertical="justify" wrapText="1"/>
    </xf>
    <xf numFmtId="168" fontId="11" fillId="0" borderId="0" xfId="0" applyNumberFormat="1" applyFont="1" applyFill="1" applyBorder="1" applyAlignment="1">
      <alignment horizontal="left" vertical="justify" wrapText="1"/>
    </xf>
    <xf numFmtId="168" fontId="2" fillId="0" borderId="0" xfId="0" applyNumberFormat="1" applyFont="1" applyFill="1" applyBorder="1" applyAlignment="1">
      <alignment vertical="center"/>
    </xf>
    <xf numFmtId="168" fontId="2" fillId="0" borderId="0" xfId="0" applyNumberFormat="1" applyFont="1" applyFill="1" applyBorder="1" applyAlignment="1">
      <alignment horizontal="center" vertical="center"/>
    </xf>
    <xf numFmtId="168" fontId="3" fillId="0" borderId="0" xfId="0" applyNumberFormat="1" applyFont="1" applyFill="1" applyBorder="1" applyAlignment="1">
      <alignment vertical="center"/>
    </xf>
    <xf numFmtId="168" fontId="6" fillId="0" borderId="0" xfId="0" applyNumberFormat="1" applyFont="1" applyFill="1" applyBorder="1" applyAlignment="1">
      <alignment horizontal="left" vertical="justify" wrapText="1"/>
    </xf>
    <xf numFmtId="0" fontId="6" fillId="0" borderId="0" xfId="0" applyFont="1" applyFill="1" applyBorder="1" applyAlignment="1">
      <alignment horizontal="left" vertical="justify" wrapText="1"/>
    </xf>
    <xf numFmtId="168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7" fontId="4" fillId="0" borderId="10" xfId="0" applyNumberFormat="1" applyFont="1" applyFill="1" applyBorder="1" applyAlignment="1" applyProtection="1">
      <alignment horizontal="right" vertical="center"/>
      <protection locked="0"/>
    </xf>
    <xf numFmtId="167" fontId="6" fillId="0" borderId="10" xfId="0" applyNumberFormat="1" applyFont="1" applyFill="1" applyBorder="1" applyAlignment="1">
      <alignment horizontal="center" vertical="center" wrapText="1"/>
    </xf>
    <xf numFmtId="167" fontId="2" fillId="0" borderId="10" xfId="0" applyNumberFormat="1" applyFont="1" applyFill="1" applyBorder="1" applyAlignment="1">
      <alignment horizontal="justify" vertical="center"/>
    </xf>
    <xf numFmtId="167" fontId="3" fillId="0" borderId="10" xfId="0" applyNumberFormat="1" applyFont="1" applyFill="1" applyBorder="1" applyAlignment="1">
      <alignment horizontal="right" vertical="center" wrapText="1"/>
    </xf>
    <xf numFmtId="167" fontId="9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justify" vertical="center" wrapText="1"/>
    </xf>
    <xf numFmtId="167" fontId="3" fillId="0" borderId="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center" vertical="center"/>
    </xf>
    <xf numFmtId="168" fontId="4" fillId="0" borderId="0" xfId="0" applyNumberFormat="1" applyFont="1" applyFill="1" applyBorder="1" applyAlignment="1">
      <alignment horizontal="right" vertical="center"/>
    </xf>
    <xf numFmtId="165" fontId="4" fillId="0" borderId="0" xfId="0" applyNumberFormat="1" applyFont="1" applyFill="1" applyBorder="1" applyAlignment="1">
      <alignment horizontal="right" vertical="center"/>
    </xf>
    <xf numFmtId="165" fontId="3" fillId="0" borderId="0" xfId="57" applyNumberFormat="1" applyFont="1" applyFill="1" applyBorder="1" applyAlignment="1">
      <alignment horizontal="right" vertical="center"/>
    </xf>
    <xf numFmtId="168" fontId="3" fillId="0" borderId="0" xfId="0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justify" vertical="center"/>
    </xf>
    <xf numFmtId="49" fontId="3" fillId="0" borderId="10" xfId="0" applyNumberFormat="1" applyFont="1" applyFill="1" applyBorder="1" applyAlignment="1">
      <alignment horizontal="justify" vertical="center"/>
    </xf>
    <xf numFmtId="167" fontId="3" fillId="0" borderId="10" xfId="0" applyNumberFormat="1" applyFont="1" applyFill="1" applyBorder="1" applyAlignment="1">
      <alignment horizontal="right" vertical="center"/>
    </xf>
    <xf numFmtId="167" fontId="2" fillId="0" borderId="10" xfId="0" applyNumberFormat="1" applyFont="1" applyFill="1" applyBorder="1" applyAlignment="1">
      <alignment horizontal="right" vertical="center"/>
    </xf>
    <xf numFmtId="167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166" fontId="3" fillId="0" borderId="10" xfId="6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3" fontId="14" fillId="0" borderId="10" xfId="0" applyNumberFormat="1" applyFont="1" applyFill="1" applyBorder="1" applyAlignment="1">
      <alignment horizontal="center" vertical="center" wrapText="1"/>
    </xf>
    <xf numFmtId="168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left" vertical="top" wrapText="1"/>
      <protection locked="0"/>
    </xf>
    <xf numFmtId="49" fontId="2" fillId="0" borderId="10" xfId="0" applyNumberFormat="1" applyFont="1" applyFill="1" applyBorder="1" applyAlignment="1" applyProtection="1">
      <alignment horizontal="left" vertical="top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169" fontId="3" fillId="0" borderId="10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 applyProtection="1">
      <alignment horizontal="left" vertical="top" wrapText="1"/>
      <protection locked="0"/>
    </xf>
    <xf numFmtId="169" fontId="2" fillId="0" borderId="10" xfId="53" applyNumberFormat="1" applyFont="1" applyFill="1" applyBorder="1" applyAlignment="1" applyProtection="1">
      <alignment horizontal="center" vertical="center" wrapText="1"/>
      <protection locked="0"/>
    </xf>
    <xf numFmtId="168" fontId="5" fillId="0" borderId="10" xfId="0" applyNumberFormat="1" applyFont="1" applyFill="1" applyBorder="1" applyAlignment="1">
      <alignment horizontal="right" vertical="center"/>
    </xf>
    <xf numFmtId="165" fontId="5" fillId="0" borderId="10" xfId="0" applyNumberFormat="1" applyFont="1" applyFill="1" applyBorder="1" applyAlignment="1">
      <alignment horizontal="right" vertical="center"/>
    </xf>
    <xf numFmtId="165" fontId="2" fillId="0" borderId="10" xfId="57" applyNumberFormat="1" applyFont="1" applyFill="1" applyBorder="1" applyAlignment="1">
      <alignment horizontal="center" vertical="center"/>
    </xf>
    <xf numFmtId="168" fontId="2" fillId="0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167" fontId="5" fillId="0" borderId="10" xfId="0" applyNumberFormat="1" applyFont="1" applyFill="1" applyBorder="1" applyAlignment="1" applyProtection="1">
      <alignment horizontal="right" vertical="center"/>
      <protection/>
    </xf>
    <xf numFmtId="167" fontId="2" fillId="0" borderId="10" xfId="0" applyNumberFormat="1" applyFont="1" applyFill="1" applyBorder="1" applyAlignment="1" applyProtection="1">
      <alignment horizontal="right" vertical="center"/>
      <protection/>
    </xf>
    <xf numFmtId="167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0" xfId="0" applyNumberFormat="1" applyFont="1" applyFill="1" applyBorder="1" applyAlignment="1">
      <alignment horizontal="justify" vertical="center"/>
    </xf>
    <xf numFmtId="167" fontId="3" fillId="0" borderId="0" xfId="0" applyNumberFormat="1" applyFont="1" applyFill="1" applyBorder="1" applyAlignment="1">
      <alignment horizontal="justify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justify" vertical="center"/>
    </xf>
    <xf numFmtId="167" fontId="7" fillId="0" borderId="0" xfId="0" applyNumberFormat="1" applyFont="1" applyFill="1" applyBorder="1" applyAlignment="1">
      <alignment horizontal="justify" vertical="center"/>
    </xf>
    <xf numFmtId="0" fontId="7" fillId="0" borderId="0" xfId="0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 applyProtection="1">
      <alignment horizontal="right" vertical="center"/>
      <protection/>
    </xf>
    <xf numFmtId="167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0" xfId="0" applyNumberFormat="1" applyFont="1" applyFill="1" applyBorder="1" applyAlignment="1">
      <alignment horizontal="right" vertical="center"/>
    </xf>
    <xf numFmtId="168" fontId="3" fillId="0" borderId="10" xfId="0" applyNumberFormat="1" applyFont="1" applyFill="1" applyBorder="1" applyAlignment="1">
      <alignment horizontal="right" vertical="center"/>
    </xf>
    <xf numFmtId="0" fontId="8" fillId="0" borderId="10" xfId="0" applyNumberFormat="1" applyFont="1" applyFill="1" applyBorder="1" applyAlignment="1">
      <alignment horizontal="justify" vertical="center"/>
    </xf>
    <xf numFmtId="0" fontId="2" fillId="0" borderId="10" xfId="0" applyNumberFormat="1" applyFont="1" applyFill="1" applyBorder="1" applyAlignment="1">
      <alignment horizontal="justify" vertical="center" wrapText="1"/>
    </xf>
    <xf numFmtId="0" fontId="3" fillId="0" borderId="10" xfId="0" applyNumberFormat="1" applyFont="1" applyFill="1" applyBorder="1" applyAlignment="1">
      <alignment horizontal="justify" vertical="center" wrapText="1"/>
    </xf>
    <xf numFmtId="0" fontId="12" fillId="0" borderId="0" xfId="0" applyNumberFormat="1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>
      <alignment horizontal="justify" vertical="center"/>
    </xf>
    <xf numFmtId="167" fontId="12" fillId="0" borderId="0" xfId="0" applyNumberFormat="1" applyFont="1" applyFill="1" applyBorder="1" applyAlignment="1">
      <alignment horizontal="justify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justify" vertical="center"/>
    </xf>
    <xf numFmtId="0" fontId="12" fillId="0" borderId="0" xfId="0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right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justify" vertical="center" wrapText="1"/>
    </xf>
    <xf numFmtId="167" fontId="2" fillId="33" borderId="10" xfId="0" applyNumberFormat="1" applyFont="1" applyFill="1" applyBorder="1" applyAlignment="1">
      <alignment horizontal="right" vertical="center" wrapText="1"/>
    </xf>
    <xf numFmtId="168" fontId="5" fillId="33" borderId="10" xfId="0" applyNumberFormat="1" applyFont="1" applyFill="1" applyBorder="1" applyAlignment="1">
      <alignment horizontal="right" vertical="center"/>
    </xf>
    <xf numFmtId="165" fontId="5" fillId="33" borderId="10" xfId="0" applyNumberFormat="1" applyFont="1" applyFill="1" applyBorder="1" applyAlignment="1">
      <alignment horizontal="right" vertical="center"/>
    </xf>
    <xf numFmtId="165" fontId="2" fillId="33" borderId="10" xfId="57" applyNumberFormat="1" applyFont="1" applyFill="1" applyBorder="1" applyAlignment="1">
      <alignment horizontal="right" vertical="center"/>
    </xf>
    <xf numFmtId="168" fontId="2" fillId="33" borderId="10" xfId="0" applyNumberFormat="1" applyFont="1" applyFill="1" applyBorder="1" applyAlignment="1">
      <alignment horizontal="right" vertical="center"/>
    </xf>
    <xf numFmtId="167" fontId="2" fillId="33" borderId="10" xfId="0" applyNumberFormat="1" applyFont="1" applyFill="1" applyBorder="1" applyAlignment="1">
      <alignment horizontal="right" vertical="center"/>
    </xf>
    <xf numFmtId="49" fontId="2" fillId="33" borderId="10" xfId="0" applyNumberFormat="1" applyFont="1" applyFill="1" applyBorder="1" applyAlignment="1">
      <alignment horizontal="justify" vertical="center" wrapText="1"/>
    </xf>
    <xf numFmtId="0" fontId="2" fillId="33" borderId="10" xfId="0" applyNumberFormat="1" applyFont="1" applyFill="1" applyBorder="1" applyAlignment="1">
      <alignment horizontal="justify" vertical="center"/>
    </xf>
    <xf numFmtId="49" fontId="2" fillId="33" borderId="10" xfId="0" applyNumberFormat="1" applyFont="1" applyFill="1" applyBorder="1" applyAlignment="1">
      <alignment horizontal="justify" vertical="center"/>
    </xf>
    <xf numFmtId="0" fontId="2" fillId="33" borderId="10" xfId="0" applyFont="1" applyFill="1" applyBorder="1" applyAlignment="1">
      <alignment horizontal="center" vertical="center"/>
    </xf>
    <xf numFmtId="0" fontId="8" fillId="33" borderId="10" xfId="0" applyNumberFormat="1" applyFont="1" applyFill="1" applyBorder="1" applyAlignment="1">
      <alignment horizontal="justify" vertical="center"/>
    </xf>
    <xf numFmtId="0" fontId="3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justify" vertical="center"/>
    </xf>
    <xf numFmtId="167" fontId="3" fillId="33" borderId="10" xfId="0" applyNumberFormat="1" applyFont="1" applyFill="1" applyBorder="1" applyAlignment="1">
      <alignment horizontal="right" vertical="center"/>
    </xf>
    <xf numFmtId="168" fontId="4" fillId="33" borderId="10" xfId="0" applyNumberFormat="1" applyFont="1" applyFill="1" applyBorder="1" applyAlignment="1">
      <alignment horizontal="right" vertical="center"/>
    </xf>
    <xf numFmtId="165" fontId="4" fillId="33" borderId="10" xfId="0" applyNumberFormat="1" applyFont="1" applyFill="1" applyBorder="1" applyAlignment="1">
      <alignment horizontal="right" vertical="center"/>
    </xf>
    <xf numFmtId="165" fontId="3" fillId="33" borderId="10" xfId="57" applyNumberFormat="1" applyFont="1" applyFill="1" applyBorder="1" applyAlignment="1">
      <alignment horizontal="right" vertical="center"/>
    </xf>
    <xf numFmtId="168" fontId="3" fillId="33" borderId="10" xfId="0" applyNumberFormat="1" applyFont="1" applyFill="1" applyBorder="1" applyAlignment="1">
      <alignment horizontal="right" vertical="center"/>
    </xf>
    <xf numFmtId="49" fontId="3" fillId="33" borderId="10" xfId="0" applyNumberFormat="1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centerContinuous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Continuous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168" fontId="5" fillId="33" borderId="10" xfId="0" applyNumberFormat="1" applyFont="1" applyFill="1" applyBorder="1" applyAlignment="1" applyProtection="1">
      <alignment horizontal="right" vertical="center"/>
      <protection/>
    </xf>
    <xf numFmtId="165" fontId="5" fillId="33" borderId="10" xfId="0" applyNumberFormat="1" applyFont="1" applyFill="1" applyBorder="1" applyAlignment="1" applyProtection="1">
      <alignment horizontal="right" vertical="center"/>
      <protection/>
    </xf>
    <xf numFmtId="165" fontId="2" fillId="33" borderId="10" xfId="57" applyNumberFormat="1" applyFont="1" applyFill="1" applyBorder="1" applyAlignment="1">
      <alignment horizontal="right" vertical="center"/>
    </xf>
    <xf numFmtId="168" fontId="2" fillId="33" borderId="10" xfId="0" applyNumberFormat="1" applyFont="1" applyFill="1" applyBorder="1" applyAlignment="1">
      <alignment horizontal="right" vertical="center"/>
    </xf>
    <xf numFmtId="165" fontId="3" fillId="33" borderId="10" xfId="57" applyNumberFormat="1" applyFont="1" applyFill="1" applyBorder="1" applyAlignment="1">
      <alignment horizontal="right" vertical="center"/>
    </xf>
    <xf numFmtId="168" fontId="3" fillId="33" borderId="10" xfId="0" applyNumberFormat="1" applyFont="1" applyFill="1" applyBorder="1" applyAlignment="1">
      <alignment horizontal="right" vertical="center"/>
    </xf>
    <xf numFmtId="168" fontId="5" fillId="33" borderId="10" xfId="0" applyNumberFormat="1" applyFont="1" applyFill="1" applyBorder="1" applyAlignment="1">
      <alignment horizontal="right" vertical="center"/>
    </xf>
    <xf numFmtId="165" fontId="5" fillId="33" borderId="10" xfId="0" applyNumberFormat="1" applyFont="1" applyFill="1" applyBorder="1" applyAlignment="1">
      <alignment horizontal="right" vertical="center"/>
    </xf>
    <xf numFmtId="167" fontId="2" fillId="33" borderId="10" xfId="0" applyNumberFormat="1" applyFont="1" applyFill="1" applyBorder="1" applyAlignment="1">
      <alignment horizontal="right" vertical="center"/>
    </xf>
    <xf numFmtId="168" fontId="5" fillId="33" borderId="12" xfId="0" applyNumberFormat="1" applyFont="1" applyFill="1" applyBorder="1" applyAlignment="1">
      <alignment horizontal="right" vertical="center"/>
    </xf>
    <xf numFmtId="165" fontId="5" fillId="33" borderId="12" xfId="0" applyNumberFormat="1" applyFont="1" applyFill="1" applyBorder="1" applyAlignment="1">
      <alignment horizontal="right" vertical="center"/>
    </xf>
    <xf numFmtId="165" fontId="2" fillId="33" borderId="12" xfId="57" applyNumberFormat="1" applyFont="1" applyFill="1" applyBorder="1" applyAlignment="1">
      <alignment horizontal="right" vertical="center"/>
    </xf>
    <xf numFmtId="168" fontId="2" fillId="33" borderId="12" xfId="0" applyNumberFormat="1" applyFont="1" applyFill="1" applyBorder="1" applyAlignment="1">
      <alignment horizontal="right" vertical="center"/>
    </xf>
    <xf numFmtId="167" fontId="2" fillId="33" borderId="12" xfId="0" applyNumberFormat="1" applyFont="1" applyFill="1" applyBorder="1" applyAlignment="1">
      <alignment horizontal="right" vertical="center"/>
    </xf>
    <xf numFmtId="167" fontId="3" fillId="33" borderId="10" xfId="0" applyNumberFormat="1" applyFont="1" applyFill="1" applyBorder="1" applyAlignment="1">
      <alignment horizontal="right" vertical="center"/>
    </xf>
    <xf numFmtId="168" fontId="4" fillId="33" borderId="10" xfId="0" applyNumberFormat="1" applyFont="1" applyFill="1" applyBorder="1" applyAlignment="1">
      <alignment horizontal="right" vertical="center"/>
    </xf>
    <xf numFmtId="165" fontId="4" fillId="33" borderId="10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165" fontId="2" fillId="34" borderId="10" xfId="57" applyNumberFormat="1" applyFont="1" applyFill="1" applyBorder="1" applyAlignment="1">
      <alignment horizontal="right" vertical="center"/>
    </xf>
    <xf numFmtId="167" fontId="5" fillId="35" borderId="10" xfId="0" applyNumberFormat="1" applyFont="1" applyFill="1" applyBorder="1" applyAlignment="1" applyProtection="1">
      <alignment horizontal="right" vertical="center"/>
      <protection/>
    </xf>
    <xf numFmtId="167" fontId="5" fillId="35" borderId="10" xfId="0" applyNumberFormat="1" applyFont="1" applyFill="1" applyBorder="1" applyAlignment="1" applyProtection="1">
      <alignment horizontal="right" vertical="center"/>
      <protection/>
    </xf>
    <xf numFmtId="167" fontId="2" fillId="35" borderId="12" xfId="0" applyNumberFormat="1" applyFont="1" applyFill="1" applyBorder="1" applyAlignment="1" applyProtection="1">
      <alignment horizontal="right" vertical="center"/>
      <protection/>
    </xf>
    <xf numFmtId="167" fontId="2" fillId="35" borderId="10" xfId="0" applyNumberFormat="1" applyFont="1" applyFill="1" applyBorder="1" applyAlignment="1" applyProtection="1">
      <alignment horizontal="right" vertical="center"/>
      <protection/>
    </xf>
    <xf numFmtId="167" fontId="2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3" fillId="7" borderId="10" xfId="0" applyNumberFormat="1" applyFont="1" applyFill="1" applyBorder="1" applyAlignment="1">
      <alignment horizontal="center" vertical="center"/>
    </xf>
    <xf numFmtId="49" fontId="3" fillId="7" borderId="10" xfId="0" applyNumberFormat="1" applyFont="1" applyFill="1" applyBorder="1" applyAlignment="1">
      <alignment horizontal="justify" vertical="center"/>
    </xf>
    <xf numFmtId="167" fontId="3" fillId="7" borderId="10" xfId="0" applyNumberFormat="1" applyFont="1" applyFill="1" applyBorder="1" applyAlignment="1">
      <alignment horizontal="right" vertical="center"/>
    </xf>
    <xf numFmtId="167" fontId="3" fillId="7" borderId="10" xfId="0" applyNumberFormat="1" applyFont="1" applyFill="1" applyBorder="1" applyAlignment="1">
      <alignment horizontal="right" vertical="center" wrapText="1"/>
    </xf>
    <xf numFmtId="49" fontId="3" fillId="7" borderId="10" xfId="0" applyNumberFormat="1" applyFont="1" applyFill="1" applyBorder="1" applyAlignment="1">
      <alignment horizontal="justify" vertical="center" wrapText="1"/>
    </xf>
    <xf numFmtId="49" fontId="3" fillId="0" borderId="0" xfId="0" applyNumberFormat="1" applyFont="1" applyFill="1" applyBorder="1" applyAlignment="1">
      <alignment horizontal="justify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justify" vertical="center" wrapText="1"/>
    </xf>
    <xf numFmtId="167" fontId="3" fillId="33" borderId="10" xfId="0" applyNumberFormat="1" applyFont="1" applyFill="1" applyBorder="1" applyAlignment="1">
      <alignment horizontal="right" vertical="center" wrapText="1"/>
    </xf>
    <xf numFmtId="49" fontId="3" fillId="36" borderId="10" xfId="0" applyNumberFormat="1" applyFont="1" applyFill="1" applyBorder="1" applyAlignment="1">
      <alignment horizontal="center" vertical="center"/>
    </xf>
    <xf numFmtId="0" fontId="3" fillId="36" borderId="10" xfId="0" applyNumberFormat="1" applyFont="1" applyFill="1" applyBorder="1" applyAlignment="1">
      <alignment horizontal="justify" vertical="center"/>
    </xf>
    <xf numFmtId="167" fontId="3" fillId="36" borderId="10" xfId="0" applyNumberFormat="1" applyFont="1" applyFill="1" applyBorder="1" applyAlignment="1">
      <alignment horizontal="right" vertical="center"/>
    </xf>
    <xf numFmtId="0" fontId="3" fillId="33" borderId="10" xfId="0" applyNumberFormat="1" applyFont="1" applyFill="1" applyBorder="1" applyAlignment="1">
      <alignment horizontal="justify" vertical="center"/>
    </xf>
    <xf numFmtId="167" fontId="4" fillId="0" borderId="10" xfId="0" applyNumberFormat="1" applyFont="1" applyFill="1" applyBorder="1" applyAlignment="1" applyProtection="1">
      <alignment horizontal="right" vertical="center"/>
      <protection/>
    </xf>
    <xf numFmtId="168" fontId="4" fillId="33" borderId="10" xfId="0" applyNumberFormat="1" applyFont="1" applyFill="1" applyBorder="1" applyAlignment="1" applyProtection="1">
      <alignment horizontal="right" vertical="center"/>
      <protection/>
    </xf>
    <xf numFmtId="165" fontId="4" fillId="33" borderId="10" xfId="0" applyNumberFormat="1" applyFont="1" applyFill="1" applyBorder="1" applyAlignment="1" applyProtection="1">
      <alignment horizontal="right" vertical="center"/>
      <protection/>
    </xf>
    <xf numFmtId="167" fontId="4" fillId="35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7" fontId="3" fillId="36" borderId="10" xfId="0" applyNumberFormat="1" applyFont="1" applyFill="1" applyBorder="1" applyAlignment="1">
      <alignment horizontal="right" vertical="center" wrapText="1"/>
    </xf>
    <xf numFmtId="167" fontId="3" fillId="36" borderId="10" xfId="0" applyNumberFormat="1" applyFont="1" applyFill="1" applyBorder="1" applyAlignment="1">
      <alignment horizontal="right" vertical="center" wrapText="1"/>
    </xf>
    <xf numFmtId="167" fontId="3" fillId="36" borderId="10" xfId="0" applyNumberFormat="1" applyFont="1" applyFill="1" applyBorder="1" applyAlignment="1">
      <alignment horizontal="right" vertical="center"/>
    </xf>
    <xf numFmtId="49" fontId="3" fillId="36" borderId="10" xfId="0" applyNumberFormat="1" applyFont="1" applyFill="1" applyBorder="1" applyAlignment="1">
      <alignment horizontal="justify" vertical="center" wrapText="1"/>
    </xf>
    <xf numFmtId="49" fontId="3" fillId="36" borderId="10" xfId="0" applyNumberFormat="1" applyFont="1" applyFill="1" applyBorder="1" applyAlignment="1">
      <alignment horizontal="center" vertical="center"/>
    </xf>
    <xf numFmtId="165" fontId="3" fillId="34" borderId="10" xfId="57" applyNumberFormat="1" applyFont="1" applyFill="1" applyBorder="1" applyAlignment="1">
      <alignment horizontal="right" vertical="center"/>
    </xf>
    <xf numFmtId="169" fontId="2" fillId="33" borderId="10" xfId="53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0" applyNumberFormat="1" applyFont="1" applyFill="1" applyBorder="1" applyAlignment="1" applyProtection="1">
      <alignment horizontal="left" vertical="top"/>
      <protection locked="0"/>
    </xf>
    <xf numFmtId="167" fontId="2" fillId="33" borderId="10" xfId="0" applyNumberFormat="1" applyFont="1" applyFill="1" applyBorder="1" applyAlignment="1" applyProtection="1">
      <alignment horizontal="right" vertical="center"/>
      <protection/>
    </xf>
    <xf numFmtId="165" fontId="2" fillId="33" borderId="12" xfId="57" applyNumberFormat="1" applyFont="1" applyFill="1" applyBorder="1" applyAlignment="1">
      <alignment horizontal="right" vertical="center"/>
    </xf>
    <xf numFmtId="165" fontId="2" fillId="33" borderId="11" xfId="57" applyNumberFormat="1" applyFont="1" applyFill="1" applyBorder="1" applyAlignment="1">
      <alignment horizontal="right" vertical="center"/>
    </xf>
    <xf numFmtId="168" fontId="2" fillId="33" borderId="12" xfId="0" applyNumberFormat="1" applyFont="1" applyFill="1" applyBorder="1" applyAlignment="1">
      <alignment horizontal="right" vertical="center"/>
    </xf>
    <xf numFmtId="168" fontId="2" fillId="33" borderId="1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67" fontId="2" fillId="33" borderId="12" xfId="0" applyNumberFormat="1" applyFont="1" applyFill="1" applyBorder="1" applyAlignment="1">
      <alignment horizontal="right" vertical="center"/>
    </xf>
    <xf numFmtId="167" fontId="2" fillId="33" borderId="11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right" vertical="center"/>
    </xf>
    <xf numFmtId="167" fontId="2" fillId="0" borderId="11" xfId="0" applyNumberFormat="1" applyFont="1" applyFill="1" applyBorder="1" applyAlignment="1">
      <alignment horizontal="right" vertical="center"/>
    </xf>
    <xf numFmtId="168" fontId="5" fillId="33" borderId="12" xfId="0" applyNumberFormat="1" applyFont="1" applyFill="1" applyBorder="1" applyAlignment="1">
      <alignment horizontal="right" vertical="center"/>
    </xf>
    <xf numFmtId="168" fontId="5" fillId="33" borderId="11" xfId="0" applyNumberFormat="1" applyFont="1" applyFill="1" applyBorder="1" applyAlignment="1">
      <alignment horizontal="right" vertical="center"/>
    </xf>
    <xf numFmtId="165" fontId="5" fillId="33" borderId="12" xfId="0" applyNumberFormat="1" applyFont="1" applyFill="1" applyBorder="1" applyAlignment="1">
      <alignment horizontal="right" vertical="center"/>
    </xf>
    <xf numFmtId="165" fontId="5" fillId="33" borderId="11" xfId="0" applyNumberFormat="1" applyFont="1" applyFill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4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2"/>
  <sheetViews>
    <sheetView tabSelected="1" view="pageBreakPreview" zoomScaleNormal="110" zoomScaleSheetLayoutView="100" zoomScalePageLayoutView="0" workbookViewId="0" topLeftCell="B1">
      <pane ySplit="5" topLeftCell="A135" activePane="bottomLeft" state="frozen"/>
      <selection pane="topLeft" activeCell="A1" sqref="A1"/>
      <selection pane="bottomLeft" activeCell="B135" sqref="B135"/>
    </sheetView>
  </sheetViews>
  <sheetFormatPr defaultColWidth="9.125" defaultRowHeight="12.75"/>
  <cols>
    <col min="1" max="1" width="18.75390625" style="39" customWidth="1"/>
    <col min="2" max="2" width="44.125" style="84" customWidth="1"/>
    <col min="3" max="3" width="10.75390625" style="84" customWidth="1"/>
    <col min="4" max="4" width="10.00390625" style="85" customWidth="1"/>
    <col min="5" max="5" width="8.25390625" style="86" customWidth="1"/>
    <col min="6" max="6" width="10.25390625" style="86" customWidth="1"/>
    <col min="7" max="7" width="10.125" style="86" customWidth="1"/>
    <col min="8" max="8" width="8.625" style="86" customWidth="1"/>
    <col min="9" max="9" width="9.25390625" style="86" customWidth="1"/>
    <col min="10" max="10" width="7.375" style="86" customWidth="1"/>
    <col min="11" max="11" width="9.125" style="86" customWidth="1"/>
    <col min="12" max="12" width="8.00390625" style="86" customWidth="1"/>
    <col min="13" max="13" width="9.375" style="86" customWidth="1"/>
    <col min="14" max="14" width="8.375" style="2" customWidth="1"/>
    <col min="15" max="16384" width="9.125" style="2" customWidth="1"/>
  </cols>
  <sheetData>
    <row r="1" spans="8:13" ht="13.5">
      <c r="H1" s="193" t="s">
        <v>52</v>
      </c>
      <c r="I1" s="193"/>
      <c r="J1" s="193"/>
      <c r="K1" s="193"/>
      <c r="L1" s="193"/>
      <c r="M1" s="193"/>
    </row>
    <row r="2" spans="1:13" ht="16.5">
      <c r="A2" s="196" t="s">
        <v>179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87"/>
    </row>
    <row r="3" spans="1:13" ht="13.5">
      <c r="A3" s="88"/>
      <c r="B3" s="89"/>
      <c r="C3" s="89"/>
      <c r="D3" s="90"/>
      <c r="E3" s="91"/>
      <c r="F3" s="14"/>
      <c r="G3" s="14"/>
      <c r="H3" s="14"/>
      <c r="I3" s="14"/>
      <c r="M3" s="39" t="s">
        <v>174</v>
      </c>
    </row>
    <row r="4" spans="1:13" s="13" customFormat="1" ht="76.5">
      <c r="A4" s="16" t="s">
        <v>18</v>
      </c>
      <c r="B4" s="4" t="s">
        <v>20</v>
      </c>
      <c r="C4" s="35" t="s">
        <v>89</v>
      </c>
      <c r="D4" s="35" t="s">
        <v>180</v>
      </c>
      <c r="E4" s="3" t="s">
        <v>121</v>
      </c>
      <c r="F4" s="3" t="s">
        <v>181</v>
      </c>
      <c r="G4" s="3" t="s">
        <v>182</v>
      </c>
      <c r="H4" s="129" t="s">
        <v>122</v>
      </c>
      <c r="I4" s="130" t="s">
        <v>103</v>
      </c>
      <c r="J4" s="130" t="s">
        <v>123</v>
      </c>
      <c r="K4" s="129" t="s">
        <v>19</v>
      </c>
      <c r="L4" s="130" t="s">
        <v>11</v>
      </c>
      <c r="M4" s="131" t="s">
        <v>185</v>
      </c>
    </row>
    <row r="5" spans="1:13" s="55" customFormat="1" ht="11.25">
      <c r="A5" s="54">
        <v>1</v>
      </c>
      <c r="B5" s="92" t="s">
        <v>90</v>
      </c>
      <c r="C5" s="56">
        <v>3</v>
      </c>
      <c r="D5" s="56">
        <v>4</v>
      </c>
      <c r="E5" s="54">
        <v>5</v>
      </c>
      <c r="F5" s="54">
        <v>6</v>
      </c>
      <c r="G5" s="54">
        <v>7</v>
      </c>
      <c r="H5" s="132">
        <v>8</v>
      </c>
      <c r="I5" s="133">
        <v>9</v>
      </c>
      <c r="J5" s="133">
        <v>10</v>
      </c>
      <c r="K5" s="132">
        <v>11</v>
      </c>
      <c r="L5" s="133">
        <v>12</v>
      </c>
      <c r="M5" s="134">
        <v>13</v>
      </c>
    </row>
    <row r="6" spans="1:14" s="15" customFormat="1" ht="13.5">
      <c r="A6" s="60" t="s">
        <v>28</v>
      </c>
      <c r="B6" s="61" t="s">
        <v>29</v>
      </c>
      <c r="C6" s="81">
        <f>C7+C21</f>
        <v>410717.5</v>
      </c>
      <c r="D6" s="81">
        <f>D7+D21</f>
        <v>410717.5</v>
      </c>
      <c r="E6" s="81">
        <f>E7+E21</f>
        <v>100227.6</v>
      </c>
      <c r="F6" s="81">
        <f>F7+F21</f>
        <v>90735.3</v>
      </c>
      <c r="G6" s="81">
        <f>G7+G21</f>
        <v>100068</v>
      </c>
      <c r="H6" s="135">
        <f>G6-E6</f>
        <v>-159.6</v>
      </c>
      <c r="I6" s="136">
        <f>G6/E6</f>
        <v>0.998</v>
      </c>
      <c r="J6" s="137">
        <f aca="true" t="shared" si="0" ref="J6:J25">G6/Всего_доходов_2003</f>
        <v>1.012</v>
      </c>
      <c r="K6" s="138">
        <f>G6-D6</f>
        <v>-310649.5</v>
      </c>
      <c r="L6" s="137">
        <f>G6/D6</f>
        <v>0.244</v>
      </c>
      <c r="M6" s="154">
        <f>M7+M21</f>
        <v>9332.7</v>
      </c>
      <c r="N6" s="25"/>
    </row>
    <row r="7" spans="1:14" s="15" customFormat="1" ht="13.5">
      <c r="A7" s="60"/>
      <c r="B7" s="61" t="s">
        <v>12</v>
      </c>
      <c r="C7" s="81">
        <f>C9+C11+C15</f>
        <v>337799.1</v>
      </c>
      <c r="D7" s="81">
        <f>D9+D11+D15</f>
        <v>337799.1</v>
      </c>
      <c r="E7" s="81">
        <f>E9+E11+E15</f>
        <v>81159.6</v>
      </c>
      <c r="F7" s="81">
        <f>F9+F11+F15</f>
        <v>70451.2</v>
      </c>
      <c r="G7" s="81">
        <f>G9+G11+G15</f>
        <v>80409.7</v>
      </c>
      <c r="H7" s="135">
        <f aca="true" t="shared" si="1" ref="H7:H42">G7-E7</f>
        <v>-749.9</v>
      </c>
      <c r="I7" s="136">
        <f aca="true" t="shared" si="2" ref="I7:I42">G7/E7</f>
        <v>0.991</v>
      </c>
      <c r="J7" s="137">
        <f t="shared" si="0"/>
        <v>0.813</v>
      </c>
      <c r="K7" s="138">
        <f aca="true" t="shared" si="3" ref="K7:K42">G7-D7</f>
        <v>-257389.4</v>
      </c>
      <c r="L7" s="137">
        <f aca="true" t="shared" si="4" ref="L7:L42">G7/D7</f>
        <v>0.238</v>
      </c>
      <c r="M7" s="154">
        <f>M9+M11+M15</f>
        <v>9958.5</v>
      </c>
      <c r="N7" s="25"/>
    </row>
    <row r="8" spans="1:14" s="15" customFormat="1" ht="13.5">
      <c r="A8" s="60" t="s">
        <v>30</v>
      </c>
      <c r="B8" s="61" t="s">
        <v>31</v>
      </c>
      <c r="C8" s="81">
        <f>SUM(C9)</f>
        <v>169700.9</v>
      </c>
      <c r="D8" s="81">
        <f>SUM(D9)</f>
        <v>169700.9</v>
      </c>
      <c r="E8" s="81">
        <f>SUM(E9)</f>
        <v>41097.9</v>
      </c>
      <c r="F8" s="81">
        <f>SUM(F9)</f>
        <v>33984.1</v>
      </c>
      <c r="G8" s="81">
        <f>SUM(G9)</f>
        <v>39694.3</v>
      </c>
      <c r="H8" s="135">
        <f t="shared" si="1"/>
        <v>-1403.6</v>
      </c>
      <c r="I8" s="136">
        <f t="shared" si="2"/>
        <v>0.966</v>
      </c>
      <c r="J8" s="137">
        <f t="shared" si="0"/>
        <v>0.401</v>
      </c>
      <c r="K8" s="138">
        <f t="shared" si="3"/>
        <v>-130006.6</v>
      </c>
      <c r="L8" s="137">
        <f t="shared" si="4"/>
        <v>0.234</v>
      </c>
      <c r="M8" s="154">
        <f>SUM(M9)</f>
        <v>5710.2</v>
      </c>
      <c r="N8" s="25"/>
    </row>
    <row r="9" spans="1:14" s="15" customFormat="1" ht="13.5">
      <c r="A9" s="60" t="s">
        <v>32</v>
      </c>
      <c r="B9" s="152" t="s">
        <v>13</v>
      </c>
      <c r="C9" s="81">
        <v>169700.9</v>
      </c>
      <c r="D9" s="81">
        <v>169700.9</v>
      </c>
      <c r="E9" s="81">
        <v>41097.9</v>
      </c>
      <c r="F9" s="81">
        <v>33984.1</v>
      </c>
      <c r="G9" s="81">
        <v>39694.3</v>
      </c>
      <c r="H9" s="135">
        <f t="shared" si="1"/>
        <v>-1403.6</v>
      </c>
      <c r="I9" s="136">
        <f t="shared" si="2"/>
        <v>0.966</v>
      </c>
      <c r="J9" s="137">
        <f t="shared" si="0"/>
        <v>0.401</v>
      </c>
      <c r="K9" s="138">
        <f t="shared" si="3"/>
        <v>-130006.6</v>
      </c>
      <c r="L9" s="137">
        <f t="shared" si="4"/>
        <v>0.234</v>
      </c>
      <c r="M9" s="155">
        <f>G9-F9</f>
        <v>5710.2</v>
      </c>
      <c r="N9" s="25"/>
    </row>
    <row r="10" spans="1:14" s="15" customFormat="1" ht="67.5">
      <c r="A10" s="62" t="s">
        <v>175</v>
      </c>
      <c r="B10" s="64" t="s">
        <v>176</v>
      </c>
      <c r="C10" s="172">
        <v>169700.9</v>
      </c>
      <c r="D10" s="172">
        <v>169700.9</v>
      </c>
      <c r="E10" s="172">
        <v>41022.9</v>
      </c>
      <c r="F10" s="172">
        <v>33519</v>
      </c>
      <c r="G10" s="172">
        <v>39940.9</v>
      </c>
      <c r="H10" s="173">
        <f>G10-E10</f>
        <v>-1082</v>
      </c>
      <c r="I10" s="174">
        <f>G10/E10</f>
        <v>0.974</v>
      </c>
      <c r="J10" s="139">
        <f>G10/Всего_доходов_2003</f>
        <v>0.404</v>
      </c>
      <c r="K10" s="140">
        <f>G10-D10</f>
        <v>-129760</v>
      </c>
      <c r="L10" s="139">
        <f>G10/D10</f>
        <v>0.235</v>
      </c>
      <c r="M10" s="175">
        <f>G10-F10</f>
        <v>6421.9</v>
      </c>
      <c r="N10" s="25"/>
    </row>
    <row r="11" spans="1:14" s="22" customFormat="1" ht="15" customHeight="1">
      <c r="A11" s="60" t="s">
        <v>119</v>
      </c>
      <c r="B11" s="67" t="s">
        <v>14</v>
      </c>
      <c r="C11" s="81">
        <f>SUM(C12)</f>
        <v>690.2</v>
      </c>
      <c r="D11" s="81">
        <f>SUM(D12)</f>
        <v>690.2</v>
      </c>
      <c r="E11" s="81">
        <f>SUM(E12)</f>
        <v>690.2</v>
      </c>
      <c r="F11" s="81">
        <f>SUM(F12)</f>
        <v>419.6</v>
      </c>
      <c r="G11" s="81">
        <f>SUM(G12)</f>
        <v>1298.4</v>
      </c>
      <c r="H11" s="135">
        <f t="shared" si="1"/>
        <v>608.2</v>
      </c>
      <c r="I11" s="136">
        <f t="shared" si="2"/>
        <v>1.881</v>
      </c>
      <c r="J11" s="137">
        <f t="shared" si="0"/>
        <v>0.013</v>
      </c>
      <c r="K11" s="138">
        <f t="shared" si="3"/>
        <v>608.2</v>
      </c>
      <c r="L11" s="137">
        <f t="shared" si="4"/>
        <v>1.881</v>
      </c>
      <c r="M11" s="154">
        <f>SUM(M12)</f>
        <v>878.8</v>
      </c>
      <c r="N11" s="26"/>
    </row>
    <row r="12" spans="1:14" s="22" customFormat="1" ht="15" customHeight="1">
      <c r="A12" s="60" t="s">
        <v>33</v>
      </c>
      <c r="B12" s="61" t="s">
        <v>0</v>
      </c>
      <c r="C12" s="81">
        <f>C13+C14</f>
        <v>690.2</v>
      </c>
      <c r="D12" s="81">
        <f>D13+D14</f>
        <v>690.2</v>
      </c>
      <c r="E12" s="81">
        <f>E13+E14</f>
        <v>690.2</v>
      </c>
      <c r="F12" s="81">
        <f>F13+F14</f>
        <v>419.6</v>
      </c>
      <c r="G12" s="81">
        <f>G13+G14</f>
        <v>1298.4</v>
      </c>
      <c r="H12" s="135">
        <f t="shared" si="1"/>
        <v>608.2</v>
      </c>
      <c r="I12" s="136">
        <f t="shared" si="2"/>
        <v>1.881</v>
      </c>
      <c r="J12" s="137">
        <f t="shared" si="0"/>
        <v>0.013</v>
      </c>
      <c r="K12" s="138">
        <f t="shared" si="3"/>
        <v>608.2</v>
      </c>
      <c r="L12" s="137">
        <f t="shared" si="4"/>
        <v>1.881</v>
      </c>
      <c r="M12" s="154">
        <f>M13+M14</f>
        <v>878.8</v>
      </c>
      <c r="N12" s="26"/>
    </row>
    <row r="13" spans="1:14" s="31" customFormat="1" ht="15" customHeight="1">
      <c r="A13" s="62" t="s">
        <v>104</v>
      </c>
      <c r="B13" s="64" t="s">
        <v>0</v>
      </c>
      <c r="C13" s="34">
        <v>690.2</v>
      </c>
      <c r="D13" s="34">
        <v>690.2</v>
      </c>
      <c r="E13" s="34">
        <v>690.2</v>
      </c>
      <c r="F13" s="34">
        <v>46.4</v>
      </c>
      <c r="G13" s="34">
        <v>1143.5</v>
      </c>
      <c r="H13" s="173">
        <f t="shared" si="1"/>
        <v>453.3</v>
      </c>
      <c r="I13" s="174">
        <f t="shared" si="2"/>
        <v>1.657</v>
      </c>
      <c r="J13" s="139">
        <f t="shared" si="0"/>
        <v>0.012</v>
      </c>
      <c r="K13" s="140">
        <f t="shared" si="3"/>
        <v>453.3</v>
      </c>
      <c r="L13" s="139">
        <f t="shared" si="4"/>
        <v>1.657</v>
      </c>
      <c r="M13" s="175">
        <f>G13-F13</f>
        <v>1097.1</v>
      </c>
      <c r="N13" s="30"/>
    </row>
    <row r="14" spans="1:14" s="31" customFormat="1" ht="27">
      <c r="A14" s="62" t="s">
        <v>105</v>
      </c>
      <c r="B14" s="64" t="s">
        <v>106</v>
      </c>
      <c r="C14" s="34">
        <v>0</v>
      </c>
      <c r="D14" s="34">
        <v>0</v>
      </c>
      <c r="E14" s="34">
        <v>0</v>
      </c>
      <c r="F14" s="34">
        <v>373.2</v>
      </c>
      <c r="G14" s="34">
        <v>154.9</v>
      </c>
      <c r="H14" s="173">
        <f t="shared" si="1"/>
        <v>154.9</v>
      </c>
      <c r="I14" s="174">
        <v>0</v>
      </c>
      <c r="J14" s="139">
        <f t="shared" si="0"/>
        <v>0.002</v>
      </c>
      <c r="K14" s="140">
        <f t="shared" si="3"/>
        <v>154.9</v>
      </c>
      <c r="L14" s="139">
        <v>0</v>
      </c>
      <c r="M14" s="175">
        <f>G14-F14</f>
        <v>-218.3</v>
      </c>
      <c r="N14" s="30"/>
    </row>
    <row r="15" spans="1:14" s="22" customFormat="1" ht="13.5">
      <c r="A15" s="60" t="s">
        <v>120</v>
      </c>
      <c r="B15" s="61" t="s">
        <v>15</v>
      </c>
      <c r="C15" s="81">
        <f>SUM(C16+C18)</f>
        <v>167408</v>
      </c>
      <c r="D15" s="81">
        <f>SUM(D16+D18)</f>
        <v>167408</v>
      </c>
      <c r="E15" s="81">
        <f>SUM(E16+E18)</f>
        <v>39371.5</v>
      </c>
      <c r="F15" s="81">
        <f>SUM(F16+F18)</f>
        <v>36047.5</v>
      </c>
      <c r="G15" s="81">
        <f>SUM(G16+G18)</f>
        <v>39417</v>
      </c>
      <c r="H15" s="135">
        <f t="shared" si="1"/>
        <v>45.5</v>
      </c>
      <c r="I15" s="136">
        <f t="shared" si="2"/>
        <v>1.001</v>
      </c>
      <c r="J15" s="137">
        <f t="shared" si="0"/>
        <v>0.398</v>
      </c>
      <c r="K15" s="138">
        <f t="shared" si="3"/>
        <v>-127991</v>
      </c>
      <c r="L15" s="137">
        <f t="shared" si="4"/>
        <v>0.235</v>
      </c>
      <c r="M15" s="154">
        <f>SUM(M16+M18)</f>
        <v>3369.5</v>
      </c>
      <c r="N15" s="26"/>
    </row>
    <row r="16" spans="1:14" s="31" customFormat="1" ht="13.5">
      <c r="A16" s="60" t="s">
        <v>37</v>
      </c>
      <c r="B16" s="61" t="s">
        <v>36</v>
      </c>
      <c r="C16" s="81">
        <f>C17</f>
        <v>49119</v>
      </c>
      <c r="D16" s="81">
        <f>D17</f>
        <v>49119</v>
      </c>
      <c r="E16" s="81">
        <f>E17</f>
        <v>7600</v>
      </c>
      <c r="F16" s="81">
        <f>F17</f>
        <v>3011.9</v>
      </c>
      <c r="G16" s="81">
        <f>G17</f>
        <v>7627.4</v>
      </c>
      <c r="H16" s="135">
        <f t="shared" si="1"/>
        <v>27.4</v>
      </c>
      <c r="I16" s="136">
        <f t="shared" si="2"/>
        <v>1.004</v>
      </c>
      <c r="J16" s="137">
        <f t="shared" si="0"/>
        <v>0.077</v>
      </c>
      <c r="K16" s="138">
        <f t="shared" si="3"/>
        <v>-41491.6</v>
      </c>
      <c r="L16" s="137">
        <f t="shared" si="4"/>
        <v>0.155</v>
      </c>
      <c r="M16" s="154">
        <f>M17</f>
        <v>4615.5</v>
      </c>
      <c r="N16" s="30"/>
    </row>
    <row r="17" spans="1:14" s="31" customFormat="1" ht="15" customHeight="1">
      <c r="A17" s="62" t="s">
        <v>34</v>
      </c>
      <c r="B17" s="64" t="s">
        <v>40</v>
      </c>
      <c r="C17" s="83">
        <v>49119</v>
      </c>
      <c r="D17" s="83">
        <v>49119</v>
      </c>
      <c r="E17" s="83">
        <v>7600</v>
      </c>
      <c r="F17" s="83">
        <v>3011.9</v>
      </c>
      <c r="G17" s="83">
        <v>7627.4</v>
      </c>
      <c r="H17" s="173">
        <f t="shared" si="1"/>
        <v>27.4</v>
      </c>
      <c r="I17" s="174">
        <f t="shared" si="2"/>
        <v>1.004</v>
      </c>
      <c r="J17" s="139">
        <f t="shared" si="0"/>
        <v>0.077</v>
      </c>
      <c r="K17" s="140">
        <f t="shared" si="3"/>
        <v>-41491.6</v>
      </c>
      <c r="L17" s="139">
        <f t="shared" si="4"/>
        <v>0.155</v>
      </c>
      <c r="M17" s="175">
        <f>G17-F17</f>
        <v>4615.5</v>
      </c>
      <c r="N17" s="30"/>
    </row>
    <row r="18" spans="1:14" s="31" customFormat="1" ht="13.5">
      <c r="A18" s="60" t="s">
        <v>35</v>
      </c>
      <c r="B18" s="61" t="s">
        <v>16</v>
      </c>
      <c r="C18" s="81">
        <f>SUM(C19:C20)</f>
        <v>118289</v>
      </c>
      <c r="D18" s="81">
        <f>SUM(D19:D20)</f>
        <v>118289</v>
      </c>
      <c r="E18" s="81">
        <f>SUM(E19:E20)</f>
        <v>31771.5</v>
      </c>
      <c r="F18" s="81">
        <f>SUM(F19:F20)</f>
        <v>33035.6</v>
      </c>
      <c r="G18" s="81">
        <f>SUM(G19:G20)</f>
        <v>31789.6</v>
      </c>
      <c r="H18" s="135">
        <f t="shared" si="1"/>
        <v>18.1</v>
      </c>
      <c r="I18" s="136">
        <f t="shared" si="2"/>
        <v>1.001</v>
      </c>
      <c r="J18" s="137">
        <f t="shared" si="0"/>
        <v>0.321</v>
      </c>
      <c r="K18" s="138">
        <f t="shared" si="3"/>
        <v>-86499.4</v>
      </c>
      <c r="L18" s="137">
        <f t="shared" si="4"/>
        <v>0.269</v>
      </c>
      <c r="M18" s="154">
        <f>SUM(M19:M20)</f>
        <v>-1246</v>
      </c>
      <c r="N18" s="30"/>
    </row>
    <row r="19" spans="1:14" s="31" customFormat="1" ht="57" customHeight="1">
      <c r="A19" s="62" t="s">
        <v>38</v>
      </c>
      <c r="B19" s="64" t="s">
        <v>41</v>
      </c>
      <c r="C19" s="83">
        <v>14400</v>
      </c>
      <c r="D19" s="83">
        <v>14400</v>
      </c>
      <c r="E19" s="83">
        <v>3100</v>
      </c>
      <c r="F19" s="83">
        <v>5411.6</v>
      </c>
      <c r="G19" s="83">
        <v>3072.1</v>
      </c>
      <c r="H19" s="173">
        <f t="shared" si="1"/>
        <v>-27.9</v>
      </c>
      <c r="I19" s="174">
        <f t="shared" si="2"/>
        <v>0.991</v>
      </c>
      <c r="J19" s="139">
        <f t="shared" si="0"/>
        <v>0.031</v>
      </c>
      <c r="K19" s="140">
        <f t="shared" si="3"/>
        <v>-11327.9</v>
      </c>
      <c r="L19" s="139">
        <f t="shared" si="4"/>
        <v>0.213</v>
      </c>
      <c r="M19" s="175">
        <f>G19-F19</f>
        <v>-2339.5</v>
      </c>
      <c r="N19" s="30"/>
    </row>
    <row r="20" spans="1:14" s="31" customFormat="1" ht="54">
      <c r="A20" s="62" t="s">
        <v>39</v>
      </c>
      <c r="B20" s="64" t="s">
        <v>42</v>
      </c>
      <c r="C20" s="83">
        <v>103889</v>
      </c>
      <c r="D20" s="83">
        <v>103889</v>
      </c>
      <c r="E20" s="83">
        <v>28671.5</v>
      </c>
      <c r="F20" s="83">
        <v>27624</v>
      </c>
      <c r="G20" s="83">
        <v>28717.5</v>
      </c>
      <c r="H20" s="173">
        <f t="shared" si="1"/>
        <v>46</v>
      </c>
      <c r="I20" s="174">
        <f t="shared" si="2"/>
        <v>1.002</v>
      </c>
      <c r="J20" s="139">
        <f t="shared" si="0"/>
        <v>0.29</v>
      </c>
      <c r="K20" s="140">
        <f t="shared" si="3"/>
        <v>-75171.5</v>
      </c>
      <c r="L20" s="139">
        <f t="shared" si="4"/>
        <v>0.276</v>
      </c>
      <c r="M20" s="175">
        <f>G20-F20</f>
        <v>1093.5</v>
      </c>
      <c r="N20" s="30"/>
    </row>
    <row r="21" spans="1:14" s="31" customFormat="1" ht="13.5">
      <c r="A21" s="60"/>
      <c r="B21" s="61" t="s">
        <v>17</v>
      </c>
      <c r="C21" s="81">
        <f>C22+C26+C29</f>
        <v>72918.4</v>
      </c>
      <c r="D21" s="81">
        <f>D22+D26+D29</f>
        <v>72918.4</v>
      </c>
      <c r="E21" s="81">
        <f>E22+E26+E29</f>
        <v>19068</v>
      </c>
      <c r="F21" s="81">
        <f>F22+F26+F29</f>
        <v>20284.1</v>
      </c>
      <c r="G21" s="81">
        <f>G22+G26+G29</f>
        <v>19658.3</v>
      </c>
      <c r="H21" s="135">
        <f t="shared" si="1"/>
        <v>590.3</v>
      </c>
      <c r="I21" s="136">
        <f t="shared" si="2"/>
        <v>1.031</v>
      </c>
      <c r="J21" s="137">
        <f t="shared" si="0"/>
        <v>0.199</v>
      </c>
      <c r="K21" s="138">
        <f t="shared" si="3"/>
        <v>-53260.1</v>
      </c>
      <c r="L21" s="137">
        <f t="shared" si="4"/>
        <v>0.27</v>
      </c>
      <c r="M21" s="154">
        <f>M22+M26+M29</f>
        <v>-625.8</v>
      </c>
      <c r="N21" s="30"/>
    </row>
    <row r="22" spans="1:14" s="22" customFormat="1" ht="40.5">
      <c r="A22" s="60" t="s">
        <v>44</v>
      </c>
      <c r="B22" s="61" t="s">
        <v>1</v>
      </c>
      <c r="C22" s="81">
        <f>C25+C24+C23</f>
        <v>62467.4</v>
      </c>
      <c r="D22" s="81">
        <f>D25+D24+D23</f>
        <v>62467.4</v>
      </c>
      <c r="E22" s="81">
        <f>E25+E24+E23</f>
        <v>15662</v>
      </c>
      <c r="F22" s="81">
        <f>F25+F24+F23</f>
        <v>17651.1</v>
      </c>
      <c r="G22" s="81">
        <f>G25+G24+G23</f>
        <v>16102.5</v>
      </c>
      <c r="H22" s="135">
        <f t="shared" si="1"/>
        <v>440.5</v>
      </c>
      <c r="I22" s="136">
        <f t="shared" si="2"/>
        <v>1.028</v>
      </c>
      <c r="J22" s="137">
        <f t="shared" si="0"/>
        <v>0.163</v>
      </c>
      <c r="K22" s="138">
        <f t="shared" si="3"/>
        <v>-46364.9</v>
      </c>
      <c r="L22" s="137">
        <f t="shared" si="4"/>
        <v>0.258</v>
      </c>
      <c r="M22" s="154">
        <f>M25+M24+M23</f>
        <v>-1548.6</v>
      </c>
      <c r="N22" s="26"/>
    </row>
    <row r="23" spans="1:14" s="31" customFormat="1" ht="67.5">
      <c r="A23" s="62" t="s">
        <v>171</v>
      </c>
      <c r="B23" s="64" t="s">
        <v>47</v>
      </c>
      <c r="C23" s="83">
        <v>55850</v>
      </c>
      <c r="D23" s="34">
        <v>55850</v>
      </c>
      <c r="E23" s="83">
        <v>14500</v>
      </c>
      <c r="F23" s="34">
        <v>16200.7</v>
      </c>
      <c r="G23" s="83">
        <v>14931.6</v>
      </c>
      <c r="H23" s="173">
        <f t="shared" si="1"/>
        <v>431.6</v>
      </c>
      <c r="I23" s="174">
        <f t="shared" si="2"/>
        <v>1.03</v>
      </c>
      <c r="J23" s="139">
        <f t="shared" si="0"/>
        <v>0.151</v>
      </c>
      <c r="K23" s="140">
        <f t="shared" si="3"/>
        <v>-40918.4</v>
      </c>
      <c r="L23" s="139">
        <f t="shared" si="4"/>
        <v>0.267</v>
      </c>
      <c r="M23" s="175">
        <f>G23-F23</f>
        <v>-1269.1</v>
      </c>
      <c r="N23" s="30"/>
    </row>
    <row r="24" spans="1:14" s="31" customFormat="1" ht="54">
      <c r="A24" s="62" t="s">
        <v>60</v>
      </c>
      <c r="B24" s="64" t="s">
        <v>107</v>
      </c>
      <c r="C24" s="83">
        <v>3681</v>
      </c>
      <c r="D24" s="34">
        <v>3681</v>
      </c>
      <c r="E24" s="83">
        <v>670.3</v>
      </c>
      <c r="F24" s="34">
        <v>952.5</v>
      </c>
      <c r="G24" s="83">
        <v>679.2</v>
      </c>
      <c r="H24" s="173">
        <f t="shared" si="1"/>
        <v>8.9</v>
      </c>
      <c r="I24" s="174">
        <f t="shared" si="2"/>
        <v>1.013</v>
      </c>
      <c r="J24" s="139">
        <f t="shared" si="0"/>
        <v>0.007</v>
      </c>
      <c r="K24" s="140">
        <f t="shared" si="3"/>
        <v>-3001.8</v>
      </c>
      <c r="L24" s="139">
        <f t="shared" si="4"/>
        <v>0.185</v>
      </c>
      <c r="M24" s="175">
        <f>G24-F24</f>
        <v>-273.3</v>
      </c>
      <c r="N24" s="30"/>
    </row>
    <row r="25" spans="1:14" s="31" customFormat="1" ht="67.5">
      <c r="A25" s="17" t="s">
        <v>88</v>
      </c>
      <c r="B25" s="63" t="s">
        <v>108</v>
      </c>
      <c r="C25" s="51">
        <v>2936.4</v>
      </c>
      <c r="D25" s="34">
        <v>2936.4</v>
      </c>
      <c r="E25" s="51">
        <v>491.7</v>
      </c>
      <c r="F25" s="34">
        <v>497.9</v>
      </c>
      <c r="G25" s="51">
        <v>491.7</v>
      </c>
      <c r="H25" s="173">
        <f t="shared" si="1"/>
        <v>0</v>
      </c>
      <c r="I25" s="174">
        <f t="shared" si="2"/>
        <v>1</v>
      </c>
      <c r="J25" s="139">
        <f t="shared" si="0"/>
        <v>0.005</v>
      </c>
      <c r="K25" s="140">
        <f t="shared" si="3"/>
        <v>-2444.7</v>
      </c>
      <c r="L25" s="139">
        <f t="shared" si="4"/>
        <v>0.167</v>
      </c>
      <c r="M25" s="175">
        <f>G25-F25</f>
        <v>-6.2</v>
      </c>
      <c r="N25" s="30"/>
    </row>
    <row r="26" spans="1:14" s="22" customFormat="1" ht="27">
      <c r="A26" s="68" t="s">
        <v>43</v>
      </c>
      <c r="B26" s="69" t="s">
        <v>2</v>
      </c>
      <c r="C26" s="93">
        <f>C28+C27</f>
        <v>10451</v>
      </c>
      <c r="D26" s="93">
        <f>D28+D27</f>
        <v>10451</v>
      </c>
      <c r="E26" s="93">
        <f>E28+E27</f>
        <v>3406</v>
      </c>
      <c r="F26" s="93">
        <f>F28+F27</f>
        <v>2633</v>
      </c>
      <c r="G26" s="93">
        <f>G28+G27</f>
        <v>3555.8</v>
      </c>
      <c r="H26" s="135">
        <f t="shared" si="1"/>
        <v>149.8</v>
      </c>
      <c r="I26" s="136">
        <f t="shared" si="2"/>
        <v>1.044</v>
      </c>
      <c r="J26" s="137">
        <f aca="true" t="shared" si="5" ref="J26:J42">G26/Всего_доходов_2003</f>
        <v>0.036</v>
      </c>
      <c r="K26" s="138">
        <f t="shared" si="3"/>
        <v>-6895.2</v>
      </c>
      <c r="L26" s="137">
        <f t="shared" si="4"/>
        <v>0.34</v>
      </c>
      <c r="M26" s="156">
        <f>M28+M27</f>
        <v>922.8</v>
      </c>
      <c r="N26" s="26"/>
    </row>
    <row r="27" spans="1:14" s="31" customFormat="1" ht="81">
      <c r="A27" s="17" t="s">
        <v>172</v>
      </c>
      <c r="B27" s="63" t="s">
        <v>159</v>
      </c>
      <c r="C27" s="51">
        <v>506</v>
      </c>
      <c r="D27" s="34">
        <v>506</v>
      </c>
      <c r="E27" s="51">
        <v>506</v>
      </c>
      <c r="F27" s="34">
        <v>41.5</v>
      </c>
      <c r="G27" s="51">
        <v>621.3</v>
      </c>
      <c r="H27" s="173">
        <f t="shared" si="1"/>
        <v>115.3</v>
      </c>
      <c r="I27" s="174">
        <f t="shared" si="2"/>
        <v>1.228</v>
      </c>
      <c r="J27" s="139">
        <f t="shared" si="5"/>
        <v>0.006</v>
      </c>
      <c r="K27" s="140">
        <f t="shared" si="3"/>
        <v>115.3</v>
      </c>
      <c r="L27" s="139">
        <f t="shared" si="4"/>
        <v>1.228</v>
      </c>
      <c r="M27" s="175">
        <f>G27-F27</f>
        <v>579.8</v>
      </c>
      <c r="N27" s="30"/>
    </row>
    <row r="28" spans="1:14" s="31" customFormat="1" ht="40.5">
      <c r="A28" s="17" t="s">
        <v>173</v>
      </c>
      <c r="B28" s="63" t="s">
        <v>48</v>
      </c>
      <c r="C28" s="51">
        <v>9945</v>
      </c>
      <c r="D28" s="34">
        <v>9945</v>
      </c>
      <c r="E28" s="51">
        <v>2900</v>
      </c>
      <c r="F28" s="34">
        <v>2591.5</v>
      </c>
      <c r="G28" s="51">
        <v>2934.5</v>
      </c>
      <c r="H28" s="173">
        <f t="shared" si="1"/>
        <v>34.5</v>
      </c>
      <c r="I28" s="174">
        <f t="shared" si="2"/>
        <v>1.012</v>
      </c>
      <c r="J28" s="139">
        <f t="shared" si="5"/>
        <v>0.03</v>
      </c>
      <c r="K28" s="140">
        <f t="shared" si="3"/>
        <v>-7010.5</v>
      </c>
      <c r="L28" s="139">
        <f t="shared" si="4"/>
        <v>0.295</v>
      </c>
      <c r="M28" s="175">
        <f>G28-F28</f>
        <v>343</v>
      </c>
      <c r="N28" s="30"/>
    </row>
    <row r="29" spans="1:14" s="22" customFormat="1" ht="13.5" hidden="1">
      <c r="A29" s="65" t="s">
        <v>3</v>
      </c>
      <c r="B29" s="66" t="s">
        <v>5</v>
      </c>
      <c r="C29" s="82">
        <f>SUM(C30)</f>
        <v>0</v>
      </c>
      <c r="D29" s="82">
        <f>SUM(D30)</f>
        <v>0</v>
      </c>
      <c r="E29" s="82">
        <f>SUM(E30)</f>
        <v>0</v>
      </c>
      <c r="F29" s="82">
        <f>SUM(F30)</f>
        <v>0</v>
      </c>
      <c r="G29" s="82">
        <f>SUM(G30)</f>
        <v>0</v>
      </c>
      <c r="H29" s="135">
        <f t="shared" si="1"/>
        <v>0</v>
      </c>
      <c r="I29" s="136" t="e">
        <f t="shared" si="2"/>
        <v>#DIV/0!</v>
      </c>
      <c r="J29" s="137">
        <f t="shared" si="5"/>
        <v>0</v>
      </c>
      <c r="K29" s="138">
        <f t="shared" si="3"/>
        <v>0</v>
      </c>
      <c r="L29" s="137" t="e">
        <f t="shared" si="4"/>
        <v>#DIV/0!</v>
      </c>
      <c r="M29" s="157">
        <f>SUM(M30)</f>
        <v>0</v>
      </c>
      <c r="N29" s="26"/>
    </row>
    <row r="30" spans="1:14" s="22" customFormat="1" ht="27" hidden="1">
      <c r="A30" s="17" t="s">
        <v>87</v>
      </c>
      <c r="B30" s="63" t="s">
        <v>58</v>
      </c>
      <c r="C30" s="51">
        <v>0</v>
      </c>
      <c r="D30" s="34">
        <v>0</v>
      </c>
      <c r="E30" s="51">
        <v>0</v>
      </c>
      <c r="F30" s="34">
        <v>0</v>
      </c>
      <c r="G30" s="51">
        <v>0</v>
      </c>
      <c r="H30" s="135">
        <f t="shared" si="1"/>
        <v>0</v>
      </c>
      <c r="I30" s="136" t="e">
        <f t="shared" si="2"/>
        <v>#DIV/0!</v>
      </c>
      <c r="J30" s="137">
        <f t="shared" si="5"/>
        <v>0</v>
      </c>
      <c r="K30" s="138">
        <f t="shared" si="3"/>
        <v>0</v>
      </c>
      <c r="L30" s="137" t="e">
        <f t="shared" si="4"/>
        <v>#DIV/0!</v>
      </c>
      <c r="M30" s="155">
        <f>G30-F30</f>
        <v>0</v>
      </c>
      <c r="N30" s="26"/>
    </row>
    <row r="31" spans="1:14" s="22" customFormat="1" ht="13.5">
      <c r="A31" s="65" t="s">
        <v>45</v>
      </c>
      <c r="B31" s="70" t="s">
        <v>4</v>
      </c>
      <c r="C31" s="82">
        <f>SUM(C32,C34:C36,C41,C39)</f>
        <v>6488</v>
      </c>
      <c r="D31" s="82">
        <f>SUM(D32,D34:D36,D41,D39)</f>
        <v>49923.2</v>
      </c>
      <c r="E31" s="82">
        <f>SUM(E32,E34:E36,E41,E39)</f>
        <v>-1152.2</v>
      </c>
      <c r="F31" s="82">
        <f>SUM(F32,F34:F36,F41,F39)</f>
        <v>1545.9</v>
      </c>
      <c r="G31" s="82">
        <f>SUM(G32,G34:G36,G41,G39)</f>
        <v>-1152.2</v>
      </c>
      <c r="H31" s="135">
        <f t="shared" si="1"/>
        <v>0</v>
      </c>
      <c r="I31" s="136">
        <f t="shared" si="2"/>
        <v>1</v>
      </c>
      <c r="J31" s="137">
        <f t="shared" si="5"/>
        <v>-0.012</v>
      </c>
      <c r="K31" s="138">
        <f t="shared" si="3"/>
        <v>-51075.4</v>
      </c>
      <c r="L31" s="137">
        <f t="shared" si="4"/>
        <v>-0.023</v>
      </c>
      <c r="M31" s="157">
        <f>SUM(M32,M34,M41,M39)</f>
        <v>-2698.1</v>
      </c>
      <c r="N31" s="26"/>
    </row>
    <row r="32" spans="1:14" s="22" customFormat="1" ht="27">
      <c r="A32" s="71" t="s">
        <v>46</v>
      </c>
      <c r="B32" s="72" t="s">
        <v>51</v>
      </c>
      <c r="C32" s="82">
        <f>C33</f>
        <v>6488</v>
      </c>
      <c r="D32" s="82">
        <f>D33</f>
        <v>6488</v>
      </c>
      <c r="E32" s="82">
        <f>E33</f>
        <v>1622</v>
      </c>
      <c r="F32" s="82">
        <f>F33</f>
        <v>1545.9</v>
      </c>
      <c r="G32" s="82">
        <f>G33</f>
        <v>1622</v>
      </c>
      <c r="H32" s="135">
        <f t="shared" si="1"/>
        <v>0</v>
      </c>
      <c r="I32" s="136">
        <f t="shared" si="2"/>
        <v>1</v>
      </c>
      <c r="J32" s="137">
        <f t="shared" si="5"/>
        <v>0.016</v>
      </c>
      <c r="K32" s="138">
        <f t="shared" si="3"/>
        <v>-4866</v>
      </c>
      <c r="L32" s="137">
        <f t="shared" si="4"/>
        <v>0.25</v>
      </c>
      <c r="M32" s="157">
        <f>M33</f>
        <v>76.1</v>
      </c>
      <c r="N32" s="26"/>
    </row>
    <row r="33" spans="1:14" s="22" customFormat="1" ht="54">
      <c r="A33" s="73" t="s">
        <v>82</v>
      </c>
      <c r="B33" s="74" t="s">
        <v>59</v>
      </c>
      <c r="C33" s="51">
        <v>6488</v>
      </c>
      <c r="D33" s="51">
        <v>6488</v>
      </c>
      <c r="E33" s="51">
        <v>1622</v>
      </c>
      <c r="F33" s="51">
        <v>1545.9</v>
      </c>
      <c r="G33" s="51">
        <v>1622</v>
      </c>
      <c r="H33" s="135">
        <f t="shared" si="1"/>
        <v>0</v>
      </c>
      <c r="I33" s="136">
        <f t="shared" si="2"/>
        <v>1</v>
      </c>
      <c r="J33" s="153">
        <f t="shared" si="5"/>
        <v>0.016</v>
      </c>
      <c r="K33" s="138">
        <f t="shared" si="3"/>
        <v>-4866</v>
      </c>
      <c r="L33" s="137">
        <f t="shared" si="4"/>
        <v>0.25</v>
      </c>
      <c r="M33" s="155">
        <f>G33-F33</f>
        <v>76.1</v>
      </c>
      <c r="N33" s="26"/>
    </row>
    <row r="34" spans="1:14" s="22" customFormat="1" ht="30.75" customHeight="1" hidden="1">
      <c r="A34" s="75" t="s">
        <v>160</v>
      </c>
      <c r="B34" s="70" t="s">
        <v>161</v>
      </c>
      <c r="C34" s="82">
        <f>C35</f>
        <v>0</v>
      </c>
      <c r="D34" s="82">
        <f>D35</f>
        <v>0</v>
      </c>
      <c r="E34" s="82">
        <f>E35</f>
        <v>0</v>
      </c>
      <c r="F34" s="82">
        <f>F35</f>
        <v>0</v>
      </c>
      <c r="G34" s="82">
        <f>G35</f>
        <v>0</v>
      </c>
      <c r="H34" s="135">
        <f t="shared" si="1"/>
        <v>0</v>
      </c>
      <c r="I34" s="136" t="e">
        <f t="shared" si="2"/>
        <v>#DIV/0!</v>
      </c>
      <c r="J34" s="137">
        <f t="shared" si="5"/>
        <v>0</v>
      </c>
      <c r="K34" s="138">
        <f t="shared" si="3"/>
        <v>0</v>
      </c>
      <c r="L34" s="137" t="e">
        <f t="shared" si="4"/>
        <v>#DIV/0!</v>
      </c>
      <c r="M34" s="157">
        <f>M35</f>
        <v>0</v>
      </c>
      <c r="N34" s="26"/>
    </row>
    <row r="35" spans="1:14" s="22" customFormat="1" ht="27" hidden="1">
      <c r="A35" s="73" t="s">
        <v>162</v>
      </c>
      <c r="B35" s="74" t="s">
        <v>163</v>
      </c>
      <c r="C35" s="51">
        <v>0</v>
      </c>
      <c r="D35" s="51">
        <v>0</v>
      </c>
      <c r="E35" s="51">
        <v>0</v>
      </c>
      <c r="F35" s="51">
        <v>0</v>
      </c>
      <c r="G35" s="51">
        <v>0</v>
      </c>
      <c r="H35" s="135">
        <f t="shared" si="1"/>
        <v>0</v>
      </c>
      <c r="I35" s="136" t="e">
        <f t="shared" si="2"/>
        <v>#DIV/0!</v>
      </c>
      <c r="J35" s="137">
        <f t="shared" si="5"/>
        <v>0</v>
      </c>
      <c r="K35" s="138">
        <f t="shared" si="3"/>
        <v>0</v>
      </c>
      <c r="L35" s="137" t="e">
        <f t="shared" si="4"/>
        <v>#DIV/0!</v>
      </c>
      <c r="M35" s="155">
        <f>G35-F35</f>
        <v>0</v>
      </c>
      <c r="N35" s="26"/>
    </row>
    <row r="36" spans="1:14" s="22" customFormat="1" ht="27">
      <c r="A36" s="178" t="s">
        <v>160</v>
      </c>
      <c r="B36" s="176" t="s">
        <v>186</v>
      </c>
      <c r="C36" s="94">
        <f>C37+C38</f>
        <v>0</v>
      </c>
      <c r="D36" s="94">
        <f>D37+D38</f>
        <v>46209.4</v>
      </c>
      <c r="E36" s="94">
        <f>E37+E38</f>
        <v>0</v>
      </c>
      <c r="F36" s="94">
        <f>F37+F38</f>
        <v>0</v>
      </c>
      <c r="G36" s="94">
        <f>G37+G38</f>
        <v>0</v>
      </c>
      <c r="H36" s="135">
        <f>G36-E36</f>
        <v>0</v>
      </c>
      <c r="I36" s="136">
        <v>0</v>
      </c>
      <c r="J36" s="137">
        <f>G36/Всего_доходов_2003</f>
        <v>0</v>
      </c>
      <c r="K36" s="138">
        <f>G36-D36</f>
        <v>-46209.4</v>
      </c>
      <c r="L36" s="137">
        <f>G36/D36</f>
        <v>0</v>
      </c>
      <c r="M36" s="157">
        <f>M37+M38</f>
        <v>0</v>
      </c>
      <c r="N36" s="26"/>
    </row>
    <row r="37" spans="1:14" s="31" customFormat="1" ht="67.5">
      <c r="A37" s="179" t="s">
        <v>189</v>
      </c>
      <c r="B37" s="177" t="s">
        <v>187</v>
      </c>
      <c r="C37" s="51">
        <v>0</v>
      </c>
      <c r="D37" s="51">
        <v>23019.4</v>
      </c>
      <c r="E37" s="51">
        <v>0</v>
      </c>
      <c r="F37" s="51">
        <v>0</v>
      </c>
      <c r="G37" s="51">
        <v>0</v>
      </c>
      <c r="H37" s="173">
        <f>G37-E37</f>
        <v>0</v>
      </c>
      <c r="I37" s="174">
        <v>0</v>
      </c>
      <c r="J37" s="185">
        <f>G37/Всего_доходов_2003</f>
        <v>0</v>
      </c>
      <c r="K37" s="140">
        <f>G37-D37</f>
        <v>-23019.4</v>
      </c>
      <c r="L37" s="139">
        <f>G37/D37</f>
        <v>0</v>
      </c>
      <c r="M37" s="175">
        <f>G37-F37</f>
        <v>0</v>
      </c>
      <c r="N37" s="30"/>
    </row>
    <row r="38" spans="1:14" s="31" customFormat="1" ht="54">
      <c r="A38" s="179" t="s">
        <v>190</v>
      </c>
      <c r="B38" s="177" t="s">
        <v>188</v>
      </c>
      <c r="C38" s="51">
        <v>0</v>
      </c>
      <c r="D38" s="51">
        <v>23190</v>
      </c>
      <c r="E38" s="51">
        <v>0</v>
      </c>
      <c r="F38" s="51">
        <v>0</v>
      </c>
      <c r="G38" s="51">
        <v>0</v>
      </c>
      <c r="H38" s="173">
        <f>G38-E38</f>
        <v>0</v>
      </c>
      <c r="I38" s="174">
        <v>0</v>
      </c>
      <c r="J38" s="185">
        <f>G38/Всего_доходов_2003</f>
        <v>0</v>
      </c>
      <c r="K38" s="140">
        <f>G38-D38</f>
        <v>-23190</v>
      </c>
      <c r="L38" s="139">
        <f>G38/D38</f>
        <v>0</v>
      </c>
      <c r="M38" s="175">
        <f>G38-F38</f>
        <v>0</v>
      </c>
      <c r="N38" s="30"/>
    </row>
    <row r="39" spans="1:14" s="22" customFormat="1" ht="40.5">
      <c r="A39" s="75" t="s">
        <v>164</v>
      </c>
      <c r="B39" s="70" t="s">
        <v>165</v>
      </c>
      <c r="C39" s="94">
        <f>C40</f>
        <v>0</v>
      </c>
      <c r="D39" s="94">
        <f>D40</f>
        <v>-2774.2</v>
      </c>
      <c r="E39" s="94">
        <f>E40</f>
        <v>-2774.2</v>
      </c>
      <c r="F39" s="94">
        <f>F40</f>
        <v>0</v>
      </c>
      <c r="G39" s="94">
        <f>G40</f>
        <v>-2774.2</v>
      </c>
      <c r="H39" s="135">
        <f t="shared" si="1"/>
        <v>0</v>
      </c>
      <c r="I39" s="136">
        <f t="shared" si="2"/>
        <v>1</v>
      </c>
      <c r="J39" s="137">
        <f t="shared" si="5"/>
        <v>-0.028</v>
      </c>
      <c r="K39" s="138">
        <f t="shared" si="3"/>
        <v>0</v>
      </c>
      <c r="L39" s="137">
        <f t="shared" si="4"/>
        <v>1</v>
      </c>
      <c r="M39" s="158">
        <f>M40</f>
        <v>-2774.2</v>
      </c>
      <c r="N39" s="26"/>
    </row>
    <row r="40" spans="1:14" s="31" customFormat="1" ht="40.5">
      <c r="A40" s="73" t="s">
        <v>166</v>
      </c>
      <c r="B40" s="74" t="s">
        <v>81</v>
      </c>
      <c r="C40" s="51">
        <v>0</v>
      </c>
      <c r="D40" s="51">
        <v>-2774.2</v>
      </c>
      <c r="E40" s="51">
        <v>-2774.2</v>
      </c>
      <c r="F40" s="51">
        <v>0</v>
      </c>
      <c r="G40" s="51">
        <v>-2774.2</v>
      </c>
      <c r="H40" s="173">
        <f t="shared" si="1"/>
        <v>0</v>
      </c>
      <c r="I40" s="174">
        <f t="shared" si="2"/>
        <v>1</v>
      </c>
      <c r="J40" s="139">
        <f t="shared" si="5"/>
        <v>-0.028</v>
      </c>
      <c r="K40" s="140">
        <f t="shared" si="3"/>
        <v>0</v>
      </c>
      <c r="L40" s="139">
        <f t="shared" si="4"/>
        <v>1</v>
      </c>
      <c r="M40" s="175">
        <f>G40-F40</f>
        <v>-2774.2</v>
      </c>
      <c r="N40" s="30"/>
    </row>
    <row r="41" spans="1:14" s="22" customFormat="1" ht="13.5">
      <c r="A41" s="71" t="s">
        <v>83</v>
      </c>
      <c r="B41" s="72" t="s">
        <v>78</v>
      </c>
      <c r="C41" s="82">
        <v>0</v>
      </c>
      <c r="D41" s="82">
        <v>0</v>
      </c>
      <c r="E41" s="82">
        <v>0</v>
      </c>
      <c r="F41" s="82">
        <v>0</v>
      </c>
      <c r="G41" s="82">
        <v>0</v>
      </c>
      <c r="H41" s="135">
        <f t="shared" si="1"/>
        <v>0</v>
      </c>
      <c r="I41" s="136">
        <v>0</v>
      </c>
      <c r="J41" s="137">
        <f t="shared" si="5"/>
        <v>0</v>
      </c>
      <c r="K41" s="138">
        <f t="shared" si="3"/>
        <v>0</v>
      </c>
      <c r="L41" s="137">
        <v>0</v>
      </c>
      <c r="M41" s="155">
        <f>G41-F41</f>
        <v>0</v>
      </c>
      <c r="N41" s="26"/>
    </row>
    <row r="42" spans="1:14" s="33" customFormat="1" ht="13.5">
      <c r="A42" s="186"/>
      <c r="B42" s="187" t="s">
        <v>6</v>
      </c>
      <c r="C42" s="188">
        <f>C6+C31</f>
        <v>417205.5</v>
      </c>
      <c r="D42" s="188">
        <f>D6+D31</f>
        <v>460640.7</v>
      </c>
      <c r="E42" s="188">
        <f>E6+E31</f>
        <v>99075.4</v>
      </c>
      <c r="F42" s="188">
        <f>F6+F31</f>
        <v>92281.2</v>
      </c>
      <c r="G42" s="188">
        <f>G6+G31</f>
        <v>98915.8</v>
      </c>
      <c r="H42" s="135">
        <f t="shared" si="1"/>
        <v>-159.6</v>
      </c>
      <c r="I42" s="136">
        <f t="shared" si="2"/>
        <v>0.998</v>
      </c>
      <c r="J42" s="137">
        <f t="shared" si="5"/>
        <v>1</v>
      </c>
      <c r="K42" s="138">
        <f t="shared" si="3"/>
        <v>-361724.9</v>
      </c>
      <c r="L42" s="137">
        <f t="shared" si="4"/>
        <v>0.215</v>
      </c>
      <c r="M42" s="155">
        <f>M31+M6</f>
        <v>6634.6</v>
      </c>
      <c r="N42" s="32"/>
    </row>
    <row r="43" spans="1:14" s="14" customFormat="1" ht="13.5">
      <c r="A43" s="59"/>
      <c r="B43" s="5"/>
      <c r="C43" s="5"/>
      <c r="D43" s="36"/>
      <c r="E43" s="6"/>
      <c r="F43" s="6"/>
      <c r="G43" s="6"/>
      <c r="H43" s="76"/>
      <c r="I43" s="77"/>
      <c r="J43" s="78"/>
      <c r="K43" s="79"/>
      <c r="L43" s="80"/>
      <c r="M43" s="6"/>
      <c r="N43" s="28"/>
    </row>
    <row r="44" spans="1:14" ht="13.5">
      <c r="A44" s="19" t="s">
        <v>10</v>
      </c>
      <c r="B44" s="5" t="s">
        <v>7</v>
      </c>
      <c r="C44" s="5"/>
      <c r="D44" s="36"/>
      <c r="E44" s="8"/>
      <c r="F44" s="8"/>
      <c r="G44" s="8"/>
      <c r="H44" s="76"/>
      <c r="I44" s="77"/>
      <c r="J44" s="95"/>
      <c r="K44" s="96"/>
      <c r="L44" s="95"/>
      <c r="M44" s="8"/>
      <c r="N44" s="29"/>
    </row>
    <row r="45" spans="1:14" s="33" customFormat="1" ht="13.5">
      <c r="A45" s="108" t="s">
        <v>21</v>
      </c>
      <c r="B45" s="109" t="s">
        <v>25</v>
      </c>
      <c r="C45" s="110">
        <f>C46+C47+C48+C49+C50+C51+C52</f>
        <v>83262.9</v>
      </c>
      <c r="D45" s="110">
        <f>D46+D47+D48+D49+D50+D51+D52</f>
        <v>78758.9</v>
      </c>
      <c r="E45" s="110">
        <f>E46+E47+E48+E49+E50+E51+E52</f>
        <v>21182</v>
      </c>
      <c r="F45" s="110">
        <f>F46+F47+F48+F49+F50+F51+F52</f>
        <v>11007</v>
      </c>
      <c r="G45" s="110">
        <f>G46+G47+G48+G49+G50+G51+G52</f>
        <v>21181.8</v>
      </c>
      <c r="H45" s="111">
        <f>G45-E45</f>
        <v>-0.2</v>
      </c>
      <c r="I45" s="112">
        <f>IF(E45=0,"0,0%",G45/E45)</f>
        <v>1</v>
      </c>
      <c r="J45" s="113">
        <f>G45/G128</f>
        <v>0.199</v>
      </c>
      <c r="K45" s="114">
        <f>G45-D45</f>
        <v>-57577.1</v>
      </c>
      <c r="L45" s="113">
        <f>G45/D45</f>
        <v>0.269</v>
      </c>
      <c r="M45" s="115">
        <f>G45-F45</f>
        <v>10174.8</v>
      </c>
      <c r="N45" s="32"/>
    </row>
    <row r="46" spans="1:14" ht="27">
      <c r="A46" s="18" t="s">
        <v>54</v>
      </c>
      <c r="B46" s="11" t="s">
        <v>66</v>
      </c>
      <c r="C46" s="37">
        <v>1422.8</v>
      </c>
      <c r="D46" s="37">
        <v>1422.8</v>
      </c>
      <c r="E46" s="8">
        <v>260.6</v>
      </c>
      <c r="F46" s="8">
        <v>285.5</v>
      </c>
      <c r="G46" s="8">
        <v>260.6</v>
      </c>
      <c r="H46" s="124">
        <f aca="true" t="shared" si="6" ref="H46:H99">G46-E46</f>
        <v>0</v>
      </c>
      <c r="I46" s="125">
        <f aca="true" t="shared" si="7" ref="I46:I61">IF(E46=0,"0,0%",G46/E46)</f>
        <v>1</v>
      </c>
      <c r="J46" s="126">
        <f aca="true" t="shared" si="8" ref="J46:J52">G46/$G$128</f>
        <v>0.002</v>
      </c>
      <c r="K46" s="127">
        <f aca="true" t="shared" si="9" ref="K46:K99">G46-D46</f>
        <v>-1162.2</v>
      </c>
      <c r="L46" s="126">
        <f aca="true" t="shared" si="10" ref="L46:L99">G46/D46</f>
        <v>0.183</v>
      </c>
      <c r="M46" s="123">
        <f aca="true" t="shared" si="11" ref="M46:M99">G46-F46</f>
        <v>-24.9</v>
      </c>
      <c r="N46" s="29"/>
    </row>
    <row r="47" spans="1:14" ht="40.5">
      <c r="A47" s="18" t="s">
        <v>55</v>
      </c>
      <c r="B47" s="11" t="s">
        <v>167</v>
      </c>
      <c r="C47" s="37">
        <v>6531.6</v>
      </c>
      <c r="D47" s="37">
        <v>6531.6</v>
      </c>
      <c r="E47" s="8">
        <v>1494.1</v>
      </c>
      <c r="F47" s="8">
        <v>490.9</v>
      </c>
      <c r="G47" s="8">
        <v>1494</v>
      </c>
      <c r="H47" s="124">
        <f t="shared" si="6"/>
        <v>-0.1</v>
      </c>
      <c r="I47" s="125">
        <f t="shared" si="7"/>
        <v>1</v>
      </c>
      <c r="J47" s="126">
        <f t="shared" si="8"/>
        <v>0.014</v>
      </c>
      <c r="K47" s="127">
        <f t="shared" si="9"/>
        <v>-5037.6</v>
      </c>
      <c r="L47" s="126">
        <f t="shared" si="10"/>
        <v>0.229</v>
      </c>
      <c r="M47" s="123">
        <f t="shared" si="11"/>
        <v>1003.1</v>
      </c>
      <c r="N47" s="29"/>
    </row>
    <row r="48" spans="1:14" ht="43.5" customHeight="1">
      <c r="A48" s="18" t="s">
        <v>56</v>
      </c>
      <c r="B48" s="11" t="s">
        <v>168</v>
      </c>
      <c r="C48" s="37">
        <v>43727.8</v>
      </c>
      <c r="D48" s="37">
        <v>39607.2</v>
      </c>
      <c r="E48" s="8">
        <v>10997.6</v>
      </c>
      <c r="F48" s="8">
        <v>8348.9</v>
      </c>
      <c r="G48" s="8">
        <v>10997.6</v>
      </c>
      <c r="H48" s="124">
        <f t="shared" si="6"/>
        <v>0</v>
      </c>
      <c r="I48" s="125">
        <f t="shared" si="7"/>
        <v>1</v>
      </c>
      <c r="J48" s="126">
        <f t="shared" si="8"/>
        <v>0.103</v>
      </c>
      <c r="K48" s="127">
        <f t="shared" si="9"/>
        <v>-28609.6</v>
      </c>
      <c r="L48" s="126">
        <f t="shared" si="10"/>
        <v>0.278</v>
      </c>
      <c r="M48" s="123">
        <f t="shared" si="11"/>
        <v>2648.7</v>
      </c>
      <c r="N48" s="29"/>
    </row>
    <row r="49" spans="1:14" ht="40.5">
      <c r="A49" s="18" t="s">
        <v>68</v>
      </c>
      <c r="B49" s="11" t="s">
        <v>169</v>
      </c>
      <c r="C49" s="37">
        <v>5632.9</v>
      </c>
      <c r="D49" s="37">
        <v>5632.9</v>
      </c>
      <c r="E49" s="8">
        <v>1186.4</v>
      </c>
      <c r="F49" s="8">
        <v>1110</v>
      </c>
      <c r="G49" s="8">
        <v>1186.4</v>
      </c>
      <c r="H49" s="124">
        <f t="shared" si="6"/>
        <v>0</v>
      </c>
      <c r="I49" s="125">
        <f t="shared" si="7"/>
        <v>1</v>
      </c>
      <c r="J49" s="126">
        <f t="shared" si="8"/>
        <v>0.011</v>
      </c>
      <c r="K49" s="127">
        <f t="shared" si="9"/>
        <v>-4446.5</v>
      </c>
      <c r="L49" s="126">
        <f t="shared" si="10"/>
        <v>0.211</v>
      </c>
      <c r="M49" s="123">
        <f t="shared" si="11"/>
        <v>76.4</v>
      </c>
      <c r="N49" s="29"/>
    </row>
    <row r="50" spans="1:14" ht="13.5">
      <c r="A50" s="18" t="s">
        <v>177</v>
      </c>
      <c r="B50" s="11" t="s">
        <v>178</v>
      </c>
      <c r="C50" s="37">
        <v>0</v>
      </c>
      <c r="D50" s="37">
        <v>0</v>
      </c>
      <c r="E50" s="8">
        <v>0</v>
      </c>
      <c r="F50" s="8">
        <v>168.6</v>
      </c>
      <c r="G50" s="8">
        <v>0</v>
      </c>
      <c r="H50" s="124">
        <f t="shared" si="6"/>
        <v>0</v>
      </c>
      <c r="I50" s="125" t="str">
        <f t="shared" si="7"/>
        <v>0,0%</v>
      </c>
      <c r="J50" s="126">
        <f t="shared" si="8"/>
        <v>0</v>
      </c>
      <c r="K50" s="127">
        <f t="shared" si="9"/>
        <v>0</v>
      </c>
      <c r="L50" s="126">
        <v>0</v>
      </c>
      <c r="M50" s="123">
        <f t="shared" si="11"/>
        <v>-168.6</v>
      </c>
      <c r="N50" s="29"/>
    </row>
    <row r="51" spans="1:14" ht="13.5">
      <c r="A51" s="18" t="s">
        <v>93</v>
      </c>
      <c r="B51" s="11" t="s">
        <v>23</v>
      </c>
      <c r="C51" s="37">
        <v>1930</v>
      </c>
      <c r="D51" s="37">
        <v>1319</v>
      </c>
      <c r="E51" s="8">
        <v>0</v>
      </c>
      <c r="F51" s="8">
        <v>0</v>
      </c>
      <c r="G51" s="8">
        <v>0</v>
      </c>
      <c r="H51" s="124">
        <f t="shared" si="6"/>
        <v>0</v>
      </c>
      <c r="I51" s="125" t="str">
        <f t="shared" si="7"/>
        <v>0,0%</v>
      </c>
      <c r="J51" s="126">
        <f t="shared" si="8"/>
        <v>0</v>
      </c>
      <c r="K51" s="127">
        <f t="shared" si="9"/>
        <v>-1319</v>
      </c>
      <c r="L51" s="126">
        <f t="shared" si="10"/>
        <v>0</v>
      </c>
      <c r="M51" s="123">
        <f t="shared" si="11"/>
        <v>0</v>
      </c>
      <c r="N51" s="29"/>
    </row>
    <row r="52" spans="1:14" s="1" customFormat="1" ht="13.5">
      <c r="A52" s="18" t="s">
        <v>99</v>
      </c>
      <c r="B52" s="11" t="s">
        <v>170</v>
      </c>
      <c r="C52" s="37">
        <v>24017.8</v>
      </c>
      <c r="D52" s="37">
        <v>24245.4</v>
      </c>
      <c r="E52" s="8">
        <v>7243.3</v>
      </c>
      <c r="F52" s="8">
        <v>603.1</v>
      </c>
      <c r="G52" s="8">
        <v>7243.2</v>
      </c>
      <c r="H52" s="124">
        <f t="shared" si="6"/>
        <v>-0.1</v>
      </c>
      <c r="I52" s="125">
        <f t="shared" si="7"/>
        <v>1</v>
      </c>
      <c r="J52" s="126">
        <f t="shared" si="8"/>
        <v>0.068</v>
      </c>
      <c r="K52" s="127">
        <f t="shared" si="9"/>
        <v>-17002.2</v>
      </c>
      <c r="L52" s="126">
        <f t="shared" si="10"/>
        <v>0.299</v>
      </c>
      <c r="M52" s="123">
        <f t="shared" si="11"/>
        <v>6640.1</v>
      </c>
      <c r="N52" s="27"/>
    </row>
    <row r="53" spans="1:14" s="1" customFormat="1" ht="13.5">
      <c r="A53" s="18"/>
      <c r="B53" s="9" t="s">
        <v>27</v>
      </c>
      <c r="C53" s="37"/>
      <c r="D53" s="37"/>
      <c r="E53" s="8"/>
      <c r="F53" s="8"/>
      <c r="G53" s="8"/>
      <c r="H53" s="124"/>
      <c r="I53" s="125"/>
      <c r="J53" s="126"/>
      <c r="K53" s="127"/>
      <c r="L53" s="126"/>
      <c r="M53" s="123"/>
      <c r="N53" s="27"/>
    </row>
    <row r="54" spans="1:14" s="1" customFormat="1" ht="40.5">
      <c r="A54" s="18"/>
      <c r="B54" s="10" t="s">
        <v>136</v>
      </c>
      <c r="C54" s="37">
        <v>10834.2</v>
      </c>
      <c r="D54" s="37">
        <v>10834.2</v>
      </c>
      <c r="E54" s="8">
        <v>2881.2</v>
      </c>
      <c r="F54" s="8">
        <v>0</v>
      </c>
      <c r="G54" s="8">
        <v>2881.2</v>
      </c>
      <c r="H54" s="124">
        <f t="shared" si="6"/>
        <v>0</v>
      </c>
      <c r="I54" s="125">
        <f t="shared" si="7"/>
        <v>1</v>
      </c>
      <c r="J54" s="126">
        <f>G54/$G$128</f>
        <v>0.027</v>
      </c>
      <c r="K54" s="127">
        <f t="shared" si="9"/>
        <v>-7953</v>
      </c>
      <c r="L54" s="126">
        <f t="shared" si="10"/>
        <v>0.266</v>
      </c>
      <c r="M54" s="123">
        <f t="shared" si="11"/>
        <v>2881.2</v>
      </c>
      <c r="N54" s="27"/>
    </row>
    <row r="55" spans="1:14" s="1" customFormat="1" ht="13.5">
      <c r="A55" s="18"/>
      <c r="B55" s="10" t="s">
        <v>137</v>
      </c>
      <c r="C55" s="37">
        <v>10354.7</v>
      </c>
      <c r="D55" s="37">
        <v>10354.7</v>
      </c>
      <c r="E55" s="8">
        <v>3670.4</v>
      </c>
      <c r="F55" s="8">
        <v>0</v>
      </c>
      <c r="G55" s="8">
        <v>3670.3</v>
      </c>
      <c r="H55" s="124">
        <f t="shared" si="6"/>
        <v>-0.1</v>
      </c>
      <c r="I55" s="125">
        <f t="shared" si="7"/>
        <v>1</v>
      </c>
      <c r="J55" s="126">
        <f>G55/$G$128</f>
        <v>0.034</v>
      </c>
      <c r="K55" s="127">
        <f t="shared" si="9"/>
        <v>-6684.4</v>
      </c>
      <c r="L55" s="126">
        <f t="shared" si="10"/>
        <v>0.354</v>
      </c>
      <c r="M55" s="123">
        <f t="shared" si="11"/>
        <v>3670.3</v>
      </c>
      <c r="N55" s="27"/>
    </row>
    <row r="56" spans="1:14" s="1" customFormat="1" ht="13.5">
      <c r="A56" s="168"/>
      <c r="B56" s="169" t="s">
        <v>191</v>
      </c>
      <c r="C56" s="180"/>
      <c r="D56" s="180"/>
      <c r="E56" s="170"/>
      <c r="F56" s="170"/>
      <c r="G56" s="170"/>
      <c r="H56" s="124"/>
      <c r="I56" s="125"/>
      <c r="J56" s="126"/>
      <c r="K56" s="127"/>
      <c r="L56" s="126"/>
      <c r="M56" s="123"/>
      <c r="N56" s="27"/>
    </row>
    <row r="57" spans="1:14" ht="13.5">
      <c r="A57" s="159"/>
      <c r="B57" s="160" t="s">
        <v>138</v>
      </c>
      <c r="C57" s="161">
        <v>53398.3</v>
      </c>
      <c r="D57" s="161">
        <v>50195.2</v>
      </c>
      <c r="E57" s="161">
        <v>12317</v>
      </c>
      <c r="F57" s="161">
        <v>9151.9</v>
      </c>
      <c r="G57" s="161">
        <v>12317</v>
      </c>
      <c r="H57" s="124">
        <f>G57-E57</f>
        <v>0</v>
      </c>
      <c r="I57" s="125">
        <f>IF(E57=0,"0,0%",G57/E57)</f>
        <v>1</v>
      </c>
      <c r="J57" s="126">
        <f>G57/$G$128</f>
        <v>0.116</v>
      </c>
      <c r="K57" s="127">
        <f>G57-D57</f>
        <v>-37878.2</v>
      </c>
      <c r="L57" s="126">
        <f>G57/D57</f>
        <v>0.245</v>
      </c>
      <c r="M57" s="123">
        <f>G57-F57</f>
        <v>3165.1</v>
      </c>
      <c r="N57" s="29"/>
    </row>
    <row r="58" spans="1:14" ht="13.5">
      <c r="A58" s="168"/>
      <c r="B58" s="160" t="s">
        <v>142</v>
      </c>
      <c r="C58" s="161">
        <v>2399.9</v>
      </c>
      <c r="D58" s="161">
        <f>15.2+2384.7</f>
        <v>2399.9</v>
      </c>
      <c r="E58" s="161">
        <f>658.4</f>
        <v>658.4</v>
      </c>
      <c r="F58" s="161">
        <v>385.1</v>
      </c>
      <c r="G58" s="161">
        <v>658.4</v>
      </c>
      <c r="H58" s="124">
        <f>G58-E58</f>
        <v>0</v>
      </c>
      <c r="I58" s="125">
        <f>IF(E58=0,"0,0%",G58/E58)</f>
        <v>1</v>
      </c>
      <c r="J58" s="126">
        <f>G58/$G$128</f>
        <v>0.006</v>
      </c>
      <c r="K58" s="127">
        <f>G58-D58</f>
        <v>-1741.5</v>
      </c>
      <c r="L58" s="126">
        <f>G58/D58</f>
        <v>0.274</v>
      </c>
      <c r="M58" s="123">
        <f>G58-F58</f>
        <v>273.3</v>
      </c>
      <c r="N58" s="29"/>
    </row>
    <row r="59" spans="1:14" ht="13.5">
      <c r="A59" s="159"/>
      <c r="B59" s="163" t="s">
        <v>154</v>
      </c>
      <c r="C59" s="162">
        <v>212</v>
      </c>
      <c r="D59" s="162">
        <v>212</v>
      </c>
      <c r="E59" s="162">
        <v>0</v>
      </c>
      <c r="F59" s="162">
        <v>0</v>
      </c>
      <c r="G59" s="162">
        <v>0</v>
      </c>
      <c r="H59" s="124">
        <f>G59-E59</f>
        <v>0</v>
      </c>
      <c r="I59" s="125" t="str">
        <f>IF(E59=0,"0,0%",G59/E59)</f>
        <v>0,0%</v>
      </c>
      <c r="J59" s="126">
        <f>G59/$G$128</f>
        <v>0</v>
      </c>
      <c r="K59" s="127">
        <f>G59-D59</f>
        <v>-212</v>
      </c>
      <c r="L59" s="126">
        <f>G59/D59</f>
        <v>0</v>
      </c>
      <c r="M59" s="123">
        <f>G59-F59</f>
        <v>0</v>
      </c>
      <c r="N59" s="29"/>
    </row>
    <row r="60" spans="1:14" s="33" customFormat="1" ht="27">
      <c r="A60" s="108" t="s">
        <v>124</v>
      </c>
      <c r="B60" s="116" t="s">
        <v>125</v>
      </c>
      <c r="C60" s="110">
        <f>C61</f>
        <v>231.1</v>
      </c>
      <c r="D60" s="110">
        <f>D61</f>
        <v>588.1</v>
      </c>
      <c r="E60" s="110">
        <f>E61</f>
        <v>246</v>
      </c>
      <c r="F60" s="110">
        <f>F61</f>
        <v>0</v>
      </c>
      <c r="G60" s="110">
        <f>G61</f>
        <v>246</v>
      </c>
      <c r="H60" s="111">
        <f t="shared" si="6"/>
        <v>0</v>
      </c>
      <c r="I60" s="112">
        <f t="shared" si="7"/>
        <v>1</v>
      </c>
      <c r="J60" s="113">
        <f>G60/$G$128</f>
        <v>0.002</v>
      </c>
      <c r="K60" s="114">
        <f t="shared" si="9"/>
        <v>-342.1</v>
      </c>
      <c r="L60" s="113">
        <f t="shared" si="10"/>
        <v>0.418</v>
      </c>
      <c r="M60" s="115">
        <f t="shared" si="11"/>
        <v>246</v>
      </c>
      <c r="N60" s="32"/>
    </row>
    <row r="61" spans="1:14" s="58" customFormat="1" ht="27.75" customHeight="1">
      <c r="A61" s="18" t="s">
        <v>74</v>
      </c>
      <c r="B61" s="21" t="s">
        <v>155</v>
      </c>
      <c r="C61" s="24">
        <v>231.1</v>
      </c>
      <c r="D61" s="24">
        <v>588.1</v>
      </c>
      <c r="E61" s="49">
        <v>246</v>
      </c>
      <c r="F61" s="49">
        <v>0</v>
      </c>
      <c r="G61" s="49">
        <v>246</v>
      </c>
      <c r="H61" s="124">
        <f t="shared" si="6"/>
        <v>0</v>
      </c>
      <c r="I61" s="125">
        <f t="shared" si="7"/>
        <v>1</v>
      </c>
      <c r="J61" s="126">
        <f>G61/$G$128</f>
        <v>0.002</v>
      </c>
      <c r="K61" s="127">
        <f t="shared" si="9"/>
        <v>-342.1</v>
      </c>
      <c r="L61" s="126">
        <f t="shared" si="10"/>
        <v>0.418</v>
      </c>
      <c r="M61" s="123">
        <f t="shared" si="11"/>
        <v>246</v>
      </c>
      <c r="N61" s="57"/>
    </row>
    <row r="62" spans="1:14" s="58" customFormat="1" ht="13.5">
      <c r="A62" s="168"/>
      <c r="B62" s="169" t="s">
        <v>192</v>
      </c>
      <c r="C62" s="181"/>
      <c r="D62" s="181"/>
      <c r="E62" s="182"/>
      <c r="F62" s="182"/>
      <c r="G62" s="182"/>
      <c r="H62" s="124"/>
      <c r="I62" s="125"/>
      <c r="J62" s="126"/>
      <c r="K62" s="127"/>
      <c r="L62" s="126"/>
      <c r="M62" s="123"/>
      <c r="N62" s="57"/>
    </row>
    <row r="63" spans="1:14" s="58" customFormat="1" ht="13.5">
      <c r="A63" s="168"/>
      <c r="B63" s="183" t="s">
        <v>154</v>
      </c>
      <c r="C63" s="181">
        <v>219.1</v>
      </c>
      <c r="D63" s="181">
        <v>219.1</v>
      </c>
      <c r="E63" s="182">
        <v>0</v>
      </c>
      <c r="F63" s="182">
        <v>0</v>
      </c>
      <c r="G63" s="182">
        <v>0</v>
      </c>
      <c r="H63" s="124">
        <f>G63-E63</f>
        <v>0</v>
      </c>
      <c r="I63" s="125" t="str">
        <f aca="true" t="shared" si="12" ref="I63:I112">IF(E63=0,"0,0%",G63/E63)</f>
        <v>0,0%</v>
      </c>
      <c r="J63" s="126">
        <f>G63/$G$128</f>
        <v>0</v>
      </c>
      <c r="K63" s="127">
        <f>G63-D63</f>
        <v>-219.1</v>
      </c>
      <c r="L63" s="126">
        <f>G63/D63</f>
        <v>0</v>
      </c>
      <c r="M63" s="123">
        <f>G63-F63</f>
        <v>0</v>
      </c>
      <c r="N63" s="57"/>
    </row>
    <row r="64" spans="1:14" s="33" customFormat="1" ht="13.5">
      <c r="A64" s="108" t="s">
        <v>24</v>
      </c>
      <c r="B64" s="109" t="s">
        <v>26</v>
      </c>
      <c r="C64" s="110">
        <f>C65+C68</f>
        <v>156651.7</v>
      </c>
      <c r="D64" s="110">
        <f>D65+D68</f>
        <v>202803.4</v>
      </c>
      <c r="E64" s="110">
        <f>E65+E68</f>
        <v>49360</v>
      </c>
      <c r="F64" s="110">
        <f>F65+F68</f>
        <v>55206.2</v>
      </c>
      <c r="G64" s="110">
        <f>G65+G68</f>
        <v>49360</v>
      </c>
      <c r="H64" s="111">
        <f t="shared" si="6"/>
        <v>0</v>
      </c>
      <c r="I64" s="112">
        <f t="shared" si="12"/>
        <v>1</v>
      </c>
      <c r="J64" s="113">
        <f>G64/$G$128</f>
        <v>0.464</v>
      </c>
      <c r="K64" s="114">
        <f t="shared" si="9"/>
        <v>-153443.4</v>
      </c>
      <c r="L64" s="113">
        <f t="shared" si="10"/>
        <v>0.243</v>
      </c>
      <c r="M64" s="115">
        <f t="shared" si="11"/>
        <v>-5846.2</v>
      </c>
      <c r="N64" s="32"/>
    </row>
    <row r="65" spans="1:14" ht="13.5">
      <c r="A65" s="4" t="s">
        <v>57</v>
      </c>
      <c r="B65" s="10" t="s">
        <v>126</v>
      </c>
      <c r="C65" s="8">
        <v>26000</v>
      </c>
      <c r="D65" s="8">
        <v>26000</v>
      </c>
      <c r="E65" s="8">
        <v>7033</v>
      </c>
      <c r="F65" s="8">
        <v>7777.8</v>
      </c>
      <c r="G65" s="8">
        <v>7033</v>
      </c>
      <c r="H65" s="124">
        <f t="shared" si="6"/>
        <v>0</v>
      </c>
      <c r="I65" s="125">
        <f t="shared" si="12"/>
        <v>1</v>
      </c>
      <c r="J65" s="126">
        <f>G65/$G$128</f>
        <v>0.066</v>
      </c>
      <c r="K65" s="127">
        <f t="shared" si="9"/>
        <v>-18967</v>
      </c>
      <c r="L65" s="126">
        <f t="shared" si="10"/>
        <v>0.271</v>
      </c>
      <c r="M65" s="123">
        <f t="shared" si="11"/>
        <v>-744.8</v>
      </c>
      <c r="N65" s="29"/>
    </row>
    <row r="66" spans="1:14" ht="13.5">
      <c r="A66" s="4"/>
      <c r="B66" s="9" t="s">
        <v>27</v>
      </c>
      <c r="C66" s="8"/>
      <c r="D66" s="8"/>
      <c r="E66" s="8"/>
      <c r="F66" s="8"/>
      <c r="G66" s="23"/>
      <c r="H66" s="124"/>
      <c r="I66" s="125"/>
      <c r="J66" s="126"/>
      <c r="K66" s="127"/>
      <c r="L66" s="126"/>
      <c r="M66" s="123"/>
      <c r="N66" s="29"/>
    </row>
    <row r="67" spans="1:14" ht="42.75" customHeight="1">
      <c r="A67" s="4"/>
      <c r="B67" s="10" t="s">
        <v>158</v>
      </c>
      <c r="C67" s="8">
        <v>25000</v>
      </c>
      <c r="D67" s="8">
        <v>25000</v>
      </c>
      <c r="E67" s="8">
        <v>7033</v>
      </c>
      <c r="F67" s="8">
        <v>7777.8</v>
      </c>
      <c r="G67" s="8">
        <v>7033</v>
      </c>
      <c r="H67" s="124">
        <f t="shared" si="6"/>
        <v>0</v>
      </c>
      <c r="I67" s="125">
        <f t="shared" si="12"/>
        <v>1</v>
      </c>
      <c r="J67" s="126">
        <f>G67/$G$128</f>
        <v>0.066</v>
      </c>
      <c r="K67" s="127">
        <f t="shared" si="9"/>
        <v>-17967</v>
      </c>
      <c r="L67" s="126">
        <f t="shared" si="10"/>
        <v>0.281</v>
      </c>
      <c r="M67" s="123">
        <f t="shared" si="11"/>
        <v>-744.8</v>
      </c>
      <c r="N67" s="29"/>
    </row>
    <row r="68" spans="1:14" s="1" customFormat="1" ht="13.5">
      <c r="A68" s="4" t="s">
        <v>127</v>
      </c>
      <c r="B68" s="10" t="s">
        <v>128</v>
      </c>
      <c r="C68" s="8">
        <v>130651.7</v>
      </c>
      <c r="D68" s="8">
        <v>176803.4</v>
      </c>
      <c r="E68" s="8">
        <v>42327</v>
      </c>
      <c r="F68" s="8">
        <v>47428.4</v>
      </c>
      <c r="G68" s="8">
        <v>42327</v>
      </c>
      <c r="H68" s="124">
        <f t="shared" si="6"/>
        <v>0</v>
      </c>
      <c r="I68" s="125">
        <f t="shared" si="12"/>
        <v>1</v>
      </c>
      <c r="J68" s="126">
        <f>G68/$G$128</f>
        <v>0.398</v>
      </c>
      <c r="K68" s="127">
        <f t="shared" si="9"/>
        <v>-134476.4</v>
      </c>
      <c r="L68" s="126">
        <f t="shared" si="10"/>
        <v>0.239</v>
      </c>
      <c r="M68" s="123">
        <f t="shared" si="11"/>
        <v>-5101.4</v>
      </c>
      <c r="N68" s="27"/>
    </row>
    <row r="69" spans="1:14" s="1" customFormat="1" ht="13.5">
      <c r="A69" s="4"/>
      <c r="B69" s="9" t="s">
        <v>27</v>
      </c>
      <c r="C69" s="8"/>
      <c r="D69" s="8"/>
      <c r="E69" s="8"/>
      <c r="F69" s="52"/>
      <c r="G69" s="52"/>
      <c r="H69" s="124"/>
      <c r="I69" s="125"/>
      <c r="J69" s="126"/>
      <c r="K69" s="127"/>
      <c r="L69" s="126"/>
      <c r="M69" s="123"/>
      <c r="N69" s="27"/>
    </row>
    <row r="70" spans="1:14" s="1" customFormat="1" ht="13.5">
      <c r="A70" s="4"/>
      <c r="B70" s="10" t="s">
        <v>129</v>
      </c>
      <c r="C70" s="8">
        <v>88659.3</v>
      </c>
      <c r="D70" s="8">
        <v>88659.3</v>
      </c>
      <c r="E70" s="8">
        <v>40901.3</v>
      </c>
      <c r="F70" s="8">
        <v>45794.1</v>
      </c>
      <c r="G70" s="8">
        <v>40901.3</v>
      </c>
      <c r="H70" s="124">
        <f t="shared" si="6"/>
        <v>0</v>
      </c>
      <c r="I70" s="125">
        <f t="shared" si="12"/>
        <v>1</v>
      </c>
      <c r="J70" s="126">
        <f>G70/$G$128</f>
        <v>0.384</v>
      </c>
      <c r="K70" s="127">
        <f t="shared" si="9"/>
        <v>-47758</v>
      </c>
      <c r="L70" s="126">
        <f t="shared" si="10"/>
        <v>0.461</v>
      </c>
      <c r="M70" s="123">
        <f t="shared" si="11"/>
        <v>-4892.8</v>
      </c>
      <c r="N70" s="27"/>
    </row>
    <row r="71" spans="1:14" s="1" customFormat="1" ht="13.5">
      <c r="A71" s="4"/>
      <c r="B71" s="10" t="s">
        <v>130</v>
      </c>
      <c r="C71" s="8">
        <v>13150</v>
      </c>
      <c r="D71" s="8">
        <v>13150</v>
      </c>
      <c r="E71" s="8">
        <v>1000</v>
      </c>
      <c r="F71" s="8">
        <v>582.5</v>
      </c>
      <c r="G71" s="8">
        <v>1000</v>
      </c>
      <c r="H71" s="124">
        <f t="shared" si="6"/>
        <v>0</v>
      </c>
      <c r="I71" s="125">
        <f t="shared" si="12"/>
        <v>1</v>
      </c>
      <c r="J71" s="126">
        <f>G71/$G$128</f>
        <v>0.009</v>
      </c>
      <c r="K71" s="127">
        <f t="shared" si="9"/>
        <v>-12150</v>
      </c>
      <c r="L71" s="126">
        <f t="shared" si="10"/>
        <v>0.076</v>
      </c>
      <c r="M71" s="123">
        <f t="shared" si="11"/>
        <v>417.5</v>
      </c>
      <c r="N71" s="27"/>
    </row>
    <row r="72" spans="1:14" s="1" customFormat="1" ht="54" customHeight="1">
      <c r="A72" s="4"/>
      <c r="B72" s="10" t="s">
        <v>183</v>
      </c>
      <c r="C72" s="8">
        <v>0</v>
      </c>
      <c r="D72" s="8">
        <v>23019.4</v>
      </c>
      <c r="E72" s="8">
        <v>0</v>
      </c>
      <c r="F72" s="8">
        <v>0</v>
      </c>
      <c r="G72" s="8">
        <v>0</v>
      </c>
      <c r="H72" s="124">
        <f t="shared" si="6"/>
        <v>0</v>
      </c>
      <c r="I72" s="125" t="str">
        <f t="shared" si="12"/>
        <v>0,0%</v>
      </c>
      <c r="J72" s="126">
        <f>G72/$G$128</f>
        <v>0</v>
      </c>
      <c r="K72" s="127">
        <f t="shared" si="9"/>
        <v>-23019.4</v>
      </c>
      <c r="L72" s="126">
        <f t="shared" si="10"/>
        <v>0</v>
      </c>
      <c r="M72" s="123">
        <f t="shared" si="11"/>
        <v>0</v>
      </c>
      <c r="N72" s="27"/>
    </row>
    <row r="73" spans="1:14" s="1" customFormat="1" ht="47.25" customHeight="1">
      <c r="A73" s="4"/>
      <c r="B73" s="10" t="s">
        <v>184</v>
      </c>
      <c r="C73" s="8">
        <v>0</v>
      </c>
      <c r="D73" s="8">
        <v>23190</v>
      </c>
      <c r="E73" s="8">
        <v>0</v>
      </c>
      <c r="F73" s="8">
        <v>0</v>
      </c>
      <c r="G73" s="8">
        <v>0</v>
      </c>
      <c r="H73" s="124">
        <f t="shared" si="6"/>
        <v>0</v>
      </c>
      <c r="I73" s="125" t="str">
        <f t="shared" si="12"/>
        <v>0,0%</v>
      </c>
      <c r="J73" s="126">
        <f>G73/$G$128</f>
        <v>0</v>
      </c>
      <c r="K73" s="127">
        <f t="shared" si="9"/>
        <v>-23190</v>
      </c>
      <c r="L73" s="126">
        <f t="shared" si="10"/>
        <v>0</v>
      </c>
      <c r="M73" s="123">
        <f t="shared" si="11"/>
        <v>0</v>
      </c>
      <c r="N73" s="27"/>
    </row>
    <row r="74" spans="1:14" s="1" customFormat="1" ht="27" customHeight="1">
      <c r="A74" s="4"/>
      <c r="B74" s="10" t="s">
        <v>131</v>
      </c>
      <c r="C74" s="8">
        <v>5270</v>
      </c>
      <c r="D74" s="8">
        <v>5270</v>
      </c>
      <c r="E74" s="8">
        <v>0</v>
      </c>
      <c r="F74" s="8">
        <v>591</v>
      </c>
      <c r="G74" s="8">
        <v>0</v>
      </c>
      <c r="H74" s="124">
        <f t="shared" si="6"/>
        <v>0</v>
      </c>
      <c r="I74" s="125" t="str">
        <f t="shared" si="12"/>
        <v>0,0%</v>
      </c>
      <c r="J74" s="126">
        <f>G74/$G$128</f>
        <v>0</v>
      </c>
      <c r="K74" s="127">
        <f t="shared" si="9"/>
        <v>-5270</v>
      </c>
      <c r="L74" s="126">
        <f t="shared" si="10"/>
        <v>0</v>
      </c>
      <c r="M74" s="123">
        <f t="shared" si="11"/>
        <v>-591</v>
      </c>
      <c r="N74" s="27"/>
    </row>
    <row r="75" spans="1:14" s="1" customFormat="1" ht="13.5">
      <c r="A75" s="184"/>
      <c r="B75" s="169" t="s">
        <v>193</v>
      </c>
      <c r="C75" s="170"/>
      <c r="D75" s="170"/>
      <c r="E75" s="170"/>
      <c r="F75" s="170"/>
      <c r="G75" s="170"/>
      <c r="H75" s="124"/>
      <c r="I75" s="125"/>
      <c r="J75" s="126"/>
      <c r="K75" s="127"/>
      <c r="L75" s="126"/>
      <c r="M75" s="123"/>
      <c r="N75" s="27"/>
    </row>
    <row r="76" spans="1:14" s="1" customFormat="1" ht="13.5">
      <c r="A76" s="184"/>
      <c r="B76" s="183" t="s">
        <v>154</v>
      </c>
      <c r="C76" s="170">
        <v>17453.5</v>
      </c>
      <c r="D76" s="170">
        <v>17454</v>
      </c>
      <c r="E76" s="170">
        <v>186.5</v>
      </c>
      <c r="F76" s="170">
        <v>100</v>
      </c>
      <c r="G76" s="170">
        <v>186.5</v>
      </c>
      <c r="H76" s="124">
        <f t="shared" si="6"/>
        <v>0</v>
      </c>
      <c r="I76" s="125">
        <f t="shared" si="12"/>
        <v>1</v>
      </c>
      <c r="J76" s="126">
        <f>G76/$G$128</f>
        <v>0.002</v>
      </c>
      <c r="K76" s="127">
        <f t="shared" si="9"/>
        <v>-17267.5</v>
      </c>
      <c r="L76" s="126">
        <f t="shared" si="10"/>
        <v>0.011</v>
      </c>
      <c r="M76" s="123">
        <f t="shared" si="11"/>
        <v>86.5</v>
      </c>
      <c r="N76" s="27"/>
    </row>
    <row r="77" spans="1:14" s="33" customFormat="1" ht="13.5">
      <c r="A77" s="108" t="s">
        <v>22</v>
      </c>
      <c r="B77" s="117" t="s">
        <v>8</v>
      </c>
      <c r="C77" s="115">
        <f>C78+C81+C87</f>
        <v>100103.4</v>
      </c>
      <c r="D77" s="115">
        <f>D78+D81+D87</f>
        <v>100161.1</v>
      </c>
      <c r="E77" s="115">
        <f>E78+E81+E87</f>
        <v>20255.2</v>
      </c>
      <c r="F77" s="115">
        <f>F78+F81+F87</f>
        <v>17259.4</v>
      </c>
      <c r="G77" s="115">
        <f>G78+G81+G87</f>
        <v>20255.2</v>
      </c>
      <c r="H77" s="111">
        <f t="shared" si="6"/>
        <v>0</v>
      </c>
      <c r="I77" s="112">
        <f t="shared" si="12"/>
        <v>1</v>
      </c>
      <c r="J77" s="113">
        <f>G77/$G$128</f>
        <v>0.19</v>
      </c>
      <c r="K77" s="114">
        <f t="shared" si="9"/>
        <v>-79905.9</v>
      </c>
      <c r="L77" s="113">
        <f t="shared" si="10"/>
        <v>0.202</v>
      </c>
      <c r="M77" s="115">
        <f t="shared" si="11"/>
        <v>2995.8</v>
      </c>
      <c r="N77" s="32"/>
    </row>
    <row r="78" spans="1:14" ht="13.5">
      <c r="A78" s="18" t="s">
        <v>69</v>
      </c>
      <c r="B78" s="47" t="s">
        <v>91</v>
      </c>
      <c r="C78" s="49">
        <v>17665.4</v>
      </c>
      <c r="D78" s="49">
        <v>17665.4</v>
      </c>
      <c r="E78" s="49">
        <v>392</v>
      </c>
      <c r="F78" s="49">
        <v>136.2</v>
      </c>
      <c r="G78" s="49">
        <v>392</v>
      </c>
      <c r="H78" s="124">
        <f t="shared" si="6"/>
        <v>0</v>
      </c>
      <c r="I78" s="125">
        <f t="shared" si="12"/>
        <v>1</v>
      </c>
      <c r="J78" s="126">
        <f>G78/$G$128</f>
        <v>0.004</v>
      </c>
      <c r="K78" s="127">
        <f t="shared" si="9"/>
        <v>-17273.4</v>
      </c>
      <c r="L78" s="126">
        <f t="shared" si="10"/>
        <v>0.022</v>
      </c>
      <c r="M78" s="123">
        <f t="shared" si="11"/>
        <v>255.8</v>
      </c>
      <c r="N78" s="29"/>
    </row>
    <row r="79" spans="1:14" ht="13.5">
      <c r="A79" s="18"/>
      <c r="B79" s="47" t="s">
        <v>27</v>
      </c>
      <c r="C79" s="6"/>
      <c r="D79" s="6"/>
      <c r="E79" s="6"/>
      <c r="F79" s="6"/>
      <c r="G79" s="6"/>
      <c r="H79" s="124"/>
      <c r="I79" s="125"/>
      <c r="J79" s="126"/>
      <c r="K79" s="127"/>
      <c r="L79" s="126"/>
      <c r="M79" s="123"/>
      <c r="N79" s="29"/>
    </row>
    <row r="80" spans="1:14" ht="27">
      <c r="A80" s="18"/>
      <c r="B80" s="48" t="s">
        <v>96</v>
      </c>
      <c r="C80" s="49">
        <v>2936.4</v>
      </c>
      <c r="D80" s="49">
        <v>2936.4</v>
      </c>
      <c r="E80" s="49">
        <v>192</v>
      </c>
      <c r="F80" s="49">
        <v>136.2</v>
      </c>
      <c r="G80" s="49">
        <v>192</v>
      </c>
      <c r="H80" s="124">
        <f t="shared" si="6"/>
        <v>0</v>
      </c>
      <c r="I80" s="125">
        <f t="shared" si="12"/>
        <v>1</v>
      </c>
      <c r="J80" s="126">
        <f>G80/$G$128</f>
        <v>0.002</v>
      </c>
      <c r="K80" s="127">
        <f t="shared" si="9"/>
        <v>-2744.4</v>
      </c>
      <c r="L80" s="126">
        <f t="shared" si="10"/>
        <v>0.065</v>
      </c>
      <c r="M80" s="123">
        <f t="shared" si="11"/>
        <v>55.8</v>
      </c>
      <c r="N80" s="29"/>
    </row>
    <row r="81" spans="1:14" ht="13.5">
      <c r="A81" s="18" t="s">
        <v>49</v>
      </c>
      <c r="B81" s="11" t="s">
        <v>50</v>
      </c>
      <c r="C81" s="37">
        <v>71288.8</v>
      </c>
      <c r="D81" s="37">
        <v>71346.5</v>
      </c>
      <c r="E81" s="37">
        <v>17383.1</v>
      </c>
      <c r="F81" s="37">
        <v>15022.6</v>
      </c>
      <c r="G81" s="37">
        <v>17383.1</v>
      </c>
      <c r="H81" s="124">
        <f t="shared" si="6"/>
        <v>0</v>
      </c>
      <c r="I81" s="125">
        <f t="shared" si="12"/>
        <v>1</v>
      </c>
      <c r="J81" s="126">
        <f>G81/$G$128</f>
        <v>0.163</v>
      </c>
      <c r="K81" s="127">
        <f t="shared" si="9"/>
        <v>-53963.4</v>
      </c>
      <c r="L81" s="126">
        <f t="shared" si="10"/>
        <v>0.244</v>
      </c>
      <c r="M81" s="123">
        <f t="shared" si="11"/>
        <v>2360.5</v>
      </c>
      <c r="N81" s="29"/>
    </row>
    <row r="82" spans="1:14" ht="13.5">
      <c r="A82" s="18"/>
      <c r="B82" s="11" t="s">
        <v>27</v>
      </c>
      <c r="C82" s="11"/>
      <c r="D82" s="37"/>
      <c r="E82" s="8"/>
      <c r="F82" s="8"/>
      <c r="G82" s="8"/>
      <c r="H82" s="124"/>
      <c r="I82" s="125"/>
      <c r="J82" s="126"/>
      <c r="K82" s="127"/>
      <c r="L82" s="126"/>
      <c r="M82" s="123"/>
      <c r="N82" s="29"/>
    </row>
    <row r="83" spans="1:14" ht="13.5">
      <c r="A83" s="18"/>
      <c r="B83" s="10" t="s">
        <v>132</v>
      </c>
      <c r="C83" s="37">
        <v>33860.3</v>
      </c>
      <c r="D83" s="37">
        <v>33860.3</v>
      </c>
      <c r="E83" s="8">
        <v>11249.1</v>
      </c>
      <c r="F83" s="8">
        <v>10634</v>
      </c>
      <c r="G83" s="8">
        <v>11249.1</v>
      </c>
      <c r="H83" s="124">
        <f t="shared" si="6"/>
        <v>0</v>
      </c>
      <c r="I83" s="125">
        <f t="shared" si="12"/>
        <v>1</v>
      </c>
      <c r="J83" s="126">
        <f>G83/$G$128</f>
        <v>0.106</v>
      </c>
      <c r="K83" s="127">
        <f t="shared" si="9"/>
        <v>-22611.2</v>
      </c>
      <c r="L83" s="126">
        <f t="shared" si="10"/>
        <v>0.332</v>
      </c>
      <c r="M83" s="123">
        <f t="shared" si="11"/>
        <v>615.1</v>
      </c>
      <c r="N83" s="29"/>
    </row>
    <row r="84" spans="1:14" ht="13.5">
      <c r="A84" s="18"/>
      <c r="B84" s="10" t="s">
        <v>133</v>
      </c>
      <c r="C84" s="37">
        <v>14869.7</v>
      </c>
      <c r="D84" s="37">
        <v>14869.7</v>
      </c>
      <c r="E84" s="8">
        <v>3536.3</v>
      </c>
      <c r="F84" s="8">
        <v>2633.4</v>
      </c>
      <c r="G84" s="8">
        <v>3536.3</v>
      </c>
      <c r="H84" s="124">
        <f t="shared" si="6"/>
        <v>0</v>
      </c>
      <c r="I84" s="125">
        <f t="shared" si="12"/>
        <v>1</v>
      </c>
      <c r="J84" s="126">
        <f>G84/$G$128</f>
        <v>0.033</v>
      </c>
      <c r="K84" s="127">
        <f t="shared" si="9"/>
        <v>-11333.4</v>
      </c>
      <c r="L84" s="126">
        <f t="shared" si="10"/>
        <v>0.238</v>
      </c>
      <c r="M84" s="123">
        <f t="shared" si="11"/>
        <v>902.9</v>
      </c>
      <c r="N84" s="29"/>
    </row>
    <row r="85" spans="1:14" ht="13.5">
      <c r="A85" s="18"/>
      <c r="B85" s="10" t="s">
        <v>134</v>
      </c>
      <c r="C85" s="37">
        <v>7534.7</v>
      </c>
      <c r="D85" s="37">
        <v>7534.7</v>
      </c>
      <c r="E85" s="8">
        <v>1700</v>
      </c>
      <c r="F85" s="8">
        <v>955.2</v>
      </c>
      <c r="G85" s="8">
        <v>1700</v>
      </c>
      <c r="H85" s="124">
        <f t="shared" si="6"/>
        <v>0</v>
      </c>
      <c r="I85" s="125">
        <f t="shared" si="12"/>
        <v>1</v>
      </c>
      <c r="J85" s="126">
        <f>G85/$G$128</f>
        <v>0.016</v>
      </c>
      <c r="K85" s="127">
        <f t="shared" si="9"/>
        <v>-5834.7</v>
      </c>
      <c r="L85" s="126">
        <f t="shared" si="10"/>
        <v>0.226</v>
      </c>
      <c r="M85" s="123">
        <f t="shared" si="11"/>
        <v>744.8</v>
      </c>
      <c r="N85" s="29"/>
    </row>
    <row r="86" spans="1:14" ht="27">
      <c r="A86" s="18"/>
      <c r="B86" s="10" t="s">
        <v>135</v>
      </c>
      <c r="C86" s="37">
        <v>5162.5</v>
      </c>
      <c r="D86" s="37">
        <v>5220.2</v>
      </c>
      <c r="E86" s="8">
        <v>657.7</v>
      </c>
      <c r="F86" s="8">
        <v>800</v>
      </c>
      <c r="G86" s="8">
        <v>657.7</v>
      </c>
      <c r="H86" s="124">
        <f t="shared" si="6"/>
        <v>0</v>
      </c>
      <c r="I86" s="125">
        <f t="shared" si="12"/>
        <v>1</v>
      </c>
      <c r="J86" s="126">
        <f>G86/$G$128</f>
        <v>0.006</v>
      </c>
      <c r="K86" s="127">
        <f t="shared" si="9"/>
        <v>-4562.5</v>
      </c>
      <c r="L86" s="126">
        <f t="shared" si="10"/>
        <v>0.126</v>
      </c>
      <c r="M86" s="123">
        <f t="shared" si="11"/>
        <v>-142.3</v>
      </c>
      <c r="N86" s="29"/>
    </row>
    <row r="87" spans="1:14" s="1" customFormat="1" ht="13.5">
      <c r="A87" s="18" t="s">
        <v>70</v>
      </c>
      <c r="B87" s="10" t="s">
        <v>71</v>
      </c>
      <c r="C87" s="37">
        <v>11149.2</v>
      </c>
      <c r="D87" s="37">
        <v>11149.2</v>
      </c>
      <c r="E87" s="8">
        <v>2480.1</v>
      </c>
      <c r="F87" s="8">
        <v>2100.6</v>
      </c>
      <c r="G87" s="8">
        <v>2480.1</v>
      </c>
      <c r="H87" s="124">
        <f t="shared" si="6"/>
        <v>0</v>
      </c>
      <c r="I87" s="125">
        <f t="shared" si="12"/>
        <v>1</v>
      </c>
      <c r="J87" s="126">
        <f>G87/$G$128</f>
        <v>0.023</v>
      </c>
      <c r="K87" s="127">
        <f t="shared" si="9"/>
        <v>-8669.1</v>
      </c>
      <c r="L87" s="126">
        <f t="shared" si="10"/>
        <v>0.222</v>
      </c>
      <c r="M87" s="123">
        <f t="shared" si="11"/>
        <v>379.5</v>
      </c>
      <c r="N87" s="27"/>
    </row>
    <row r="88" spans="1:14" ht="13.5">
      <c r="A88" s="168"/>
      <c r="B88" s="169" t="s">
        <v>194</v>
      </c>
      <c r="C88" s="169"/>
      <c r="D88" s="170"/>
      <c r="E88" s="170"/>
      <c r="F88" s="170"/>
      <c r="G88" s="170"/>
      <c r="H88" s="124"/>
      <c r="I88" s="125"/>
      <c r="J88" s="126"/>
      <c r="K88" s="127"/>
      <c r="L88" s="126"/>
      <c r="M88" s="123"/>
      <c r="N88" s="29"/>
    </row>
    <row r="89" spans="1:14" ht="13.5">
      <c r="A89" s="159"/>
      <c r="B89" s="160" t="s">
        <v>138</v>
      </c>
      <c r="C89" s="161">
        <v>10592.9</v>
      </c>
      <c r="D89" s="161">
        <v>10592.9</v>
      </c>
      <c r="E89" s="161">
        <v>2371</v>
      </c>
      <c r="F89" s="161">
        <v>2048.7</v>
      </c>
      <c r="G89" s="161">
        <v>2371</v>
      </c>
      <c r="H89" s="124">
        <f>G89-E89</f>
        <v>0</v>
      </c>
      <c r="I89" s="125">
        <f>IF(E89=0,"0,0%",G89/E89)</f>
        <v>1</v>
      </c>
      <c r="J89" s="126">
        <f aca="true" t="shared" si="13" ref="J89:J94">G89/$G$128</f>
        <v>0.022</v>
      </c>
      <c r="K89" s="127">
        <f>G89-D89</f>
        <v>-8221.9</v>
      </c>
      <c r="L89" s="126">
        <f>G89/D89</f>
        <v>0.224</v>
      </c>
      <c r="M89" s="123">
        <f>G89-F89</f>
        <v>322.3</v>
      </c>
      <c r="N89" s="29"/>
    </row>
    <row r="90" spans="1:14" ht="13.5">
      <c r="A90" s="159"/>
      <c r="B90" s="163" t="s">
        <v>154</v>
      </c>
      <c r="C90" s="162">
        <v>24590.6</v>
      </c>
      <c r="D90" s="162">
        <v>24590.6</v>
      </c>
      <c r="E90" s="162">
        <v>440</v>
      </c>
      <c r="F90" s="162">
        <v>0</v>
      </c>
      <c r="G90" s="162">
        <v>440</v>
      </c>
      <c r="H90" s="124">
        <f>G90-E90</f>
        <v>0</v>
      </c>
      <c r="I90" s="125">
        <f>IF(E90=0,"0,0%",G90/E90)</f>
        <v>1</v>
      </c>
      <c r="J90" s="126">
        <f t="shared" si="13"/>
        <v>0.004</v>
      </c>
      <c r="K90" s="127">
        <f>G90-D90</f>
        <v>-24150.6</v>
      </c>
      <c r="L90" s="126">
        <f>G90/D90</f>
        <v>0.018</v>
      </c>
      <c r="M90" s="123">
        <f>G90-F90</f>
        <v>440</v>
      </c>
      <c r="N90" s="29"/>
    </row>
    <row r="91" spans="1:14" s="33" customFormat="1" ht="13.5">
      <c r="A91" s="108" t="s">
        <v>157</v>
      </c>
      <c r="B91" s="118" t="s">
        <v>156</v>
      </c>
      <c r="C91" s="110">
        <f>C92</f>
        <v>17405.4</v>
      </c>
      <c r="D91" s="110">
        <f>D92</f>
        <v>17405.4</v>
      </c>
      <c r="E91" s="110">
        <f>E92</f>
        <v>2792</v>
      </c>
      <c r="F91" s="110">
        <f>F92</f>
        <v>2610</v>
      </c>
      <c r="G91" s="110">
        <f>G92</f>
        <v>2792</v>
      </c>
      <c r="H91" s="111">
        <f t="shared" si="6"/>
        <v>0</v>
      </c>
      <c r="I91" s="112">
        <f t="shared" si="12"/>
        <v>1</v>
      </c>
      <c r="J91" s="113">
        <f t="shared" si="13"/>
        <v>0.026</v>
      </c>
      <c r="K91" s="114">
        <f t="shared" si="9"/>
        <v>-14613.4</v>
      </c>
      <c r="L91" s="113">
        <f t="shared" si="10"/>
        <v>0.16</v>
      </c>
      <c r="M91" s="115">
        <f t="shared" si="11"/>
        <v>182</v>
      </c>
      <c r="N91" s="32"/>
    </row>
    <row r="92" spans="1:14" s="58" customFormat="1" ht="13.5">
      <c r="A92" s="165" t="s">
        <v>53</v>
      </c>
      <c r="B92" s="166" t="s">
        <v>65</v>
      </c>
      <c r="C92" s="149">
        <f>C93+C94</f>
        <v>17405.4</v>
      </c>
      <c r="D92" s="149">
        <f>D93+D94</f>
        <v>17405.4</v>
      </c>
      <c r="E92" s="149">
        <f>E93+E94</f>
        <v>2792</v>
      </c>
      <c r="F92" s="149">
        <f>F93+F94</f>
        <v>2610</v>
      </c>
      <c r="G92" s="149">
        <f>G93+G94</f>
        <v>2792</v>
      </c>
      <c r="H92" s="124">
        <f t="shared" si="6"/>
        <v>0</v>
      </c>
      <c r="I92" s="125">
        <f t="shared" si="12"/>
        <v>1</v>
      </c>
      <c r="J92" s="126">
        <f t="shared" si="13"/>
        <v>0.026</v>
      </c>
      <c r="K92" s="127">
        <f t="shared" si="9"/>
        <v>-14613.4</v>
      </c>
      <c r="L92" s="126">
        <f t="shared" si="10"/>
        <v>0.16</v>
      </c>
      <c r="M92" s="123">
        <f t="shared" si="11"/>
        <v>182</v>
      </c>
      <c r="N92" s="57"/>
    </row>
    <row r="93" spans="1:14" ht="40.5">
      <c r="A93" s="19"/>
      <c r="B93" s="10" t="s">
        <v>136</v>
      </c>
      <c r="C93" s="8">
        <v>8460.4</v>
      </c>
      <c r="D93" s="8">
        <v>8460.4</v>
      </c>
      <c r="E93" s="8">
        <v>2004.3</v>
      </c>
      <c r="F93" s="8">
        <v>1738.5</v>
      </c>
      <c r="G93" s="8">
        <v>2004.3</v>
      </c>
      <c r="H93" s="124">
        <f t="shared" si="6"/>
        <v>0</v>
      </c>
      <c r="I93" s="125">
        <f t="shared" si="12"/>
        <v>1</v>
      </c>
      <c r="J93" s="126">
        <f t="shared" si="13"/>
        <v>0.019</v>
      </c>
      <c r="K93" s="127">
        <f t="shared" si="9"/>
        <v>-6456.1</v>
      </c>
      <c r="L93" s="126">
        <f t="shared" si="10"/>
        <v>0.237</v>
      </c>
      <c r="M93" s="123">
        <f t="shared" si="11"/>
        <v>265.8</v>
      </c>
      <c r="N93" s="29"/>
    </row>
    <row r="94" spans="1:14" ht="13.5">
      <c r="A94" s="19"/>
      <c r="B94" s="10" t="s">
        <v>137</v>
      </c>
      <c r="C94" s="8">
        <v>8945</v>
      </c>
      <c r="D94" s="8">
        <v>8945</v>
      </c>
      <c r="E94" s="8">
        <v>787.7</v>
      </c>
      <c r="F94" s="8">
        <v>871.5</v>
      </c>
      <c r="G94" s="8">
        <v>787.7</v>
      </c>
      <c r="H94" s="124">
        <f t="shared" si="6"/>
        <v>0</v>
      </c>
      <c r="I94" s="125">
        <f t="shared" si="12"/>
        <v>1</v>
      </c>
      <c r="J94" s="126">
        <f t="shared" si="13"/>
        <v>0.007</v>
      </c>
      <c r="K94" s="127">
        <f t="shared" si="9"/>
        <v>-8157.3</v>
      </c>
      <c r="L94" s="126">
        <f t="shared" si="10"/>
        <v>0.088</v>
      </c>
      <c r="M94" s="123">
        <f t="shared" si="11"/>
        <v>-83.8</v>
      </c>
      <c r="N94" s="29"/>
    </row>
    <row r="95" spans="1:14" ht="13.5">
      <c r="A95" s="168"/>
      <c r="B95" s="169" t="s">
        <v>195</v>
      </c>
      <c r="C95" s="169"/>
      <c r="D95" s="170"/>
      <c r="E95" s="170"/>
      <c r="F95" s="170"/>
      <c r="G95" s="170"/>
      <c r="H95" s="124"/>
      <c r="I95" s="125"/>
      <c r="J95" s="126"/>
      <c r="K95" s="127"/>
      <c r="L95" s="126"/>
      <c r="M95" s="123"/>
      <c r="N95" s="29"/>
    </row>
    <row r="96" spans="1:14" ht="13.5">
      <c r="A96" s="159"/>
      <c r="B96" s="160" t="s">
        <v>138</v>
      </c>
      <c r="C96" s="161">
        <v>7306.9</v>
      </c>
      <c r="D96" s="161">
        <v>7306.9</v>
      </c>
      <c r="E96" s="161">
        <v>1684.9</v>
      </c>
      <c r="F96" s="161">
        <v>1498.1</v>
      </c>
      <c r="G96" s="161">
        <v>1684.9</v>
      </c>
      <c r="H96" s="124">
        <f>G96-E96</f>
        <v>0</v>
      </c>
      <c r="I96" s="125">
        <f>IF(E96=0,"0,0%",G96/E96)</f>
        <v>1</v>
      </c>
      <c r="J96" s="126">
        <f aca="true" t="shared" si="14" ref="J96:J102">G96/$G$128</f>
        <v>0.016</v>
      </c>
      <c r="K96" s="127">
        <f>G96-D96</f>
        <v>-5622</v>
      </c>
      <c r="L96" s="126">
        <f>G96/D96</f>
        <v>0.231</v>
      </c>
      <c r="M96" s="123">
        <f>G96-F96</f>
        <v>186.8</v>
      </c>
      <c r="N96" s="29"/>
    </row>
    <row r="97" spans="1:14" ht="13.5">
      <c r="A97" s="159"/>
      <c r="B97" s="160" t="s">
        <v>142</v>
      </c>
      <c r="C97" s="161">
        <v>602.6</v>
      </c>
      <c r="D97" s="161">
        <v>602.6</v>
      </c>
      <c r="E97" s="161">
        <v>158.1</v>
      </c>
      <c r="F97" s="161">
        <v>189.7</v>
      </c>
      <c r="G97" s="161">
        <v>158.1</v>
      </c>
      <c r="H97" s="124">
        <f>G97-E97</f>
        <v>0</v>
      </c>
      <c r="I97" s="125">
        <f>IF(E97=0,"0,0%",G97/E97)</f>
        <v>1</v>
      </c>
      <c r="J97" s="126">
        <f t="shared" si="14"/>
        <v>0.001</v>
      </c>
      <c r="K97" s="127">
        <f>G97-D97</f>
        <v>-444.5</v>
      </c>
      <c r="L97" s="126">
        <f>G97/D97</f>
        <v>0.262</v>
      </c>
      <c r="M97" s="123">
        <f>G97-F97</f>
        <v>-31.6</v>
      </c>
      <c r="N97" s="29"/>
    </row>
    <row r="98" spans="1:14" ht="13.5">
      <c r="A98" s="159"/>
      <c r="B98" s="163" t="s">
        <v>154</v>
      </c>
      <c r="C98" s="162">
        <v>8645</v>
      </c>
      <c r="D98" s="162">
        <v>8645</v>
      </c>
      <c r="E98" s="162">
        <v>724.3</v>
      </c>
      <c r="F98" s="162">
        <v>856.5</v>
      </c>
      <c r="G98" s="162">
        <v>724.3</v>
      </c>
      <c r="H98" s="124">
        <f>G98-E98</f>
        <v>0</v>
      </c>
      <c r="I98" s="125">
        <f>IF(E98=0,"0,0%",G98/E98)</f>
        <v>1</v>
      </c>
      <c r="J98" s="126">
        <f t="shared" si="14"/>
        <v>0.007</v>
      </c>
      <c r="K98" s="127">
        <f>G98-D98</f>
        <v>-7920.7</v>
      </c>
      <c r="L98" s="126">
        <f>G98/D98</f>
        <v>0.084</v>
      </c>
      <c r="M98" s="123">
        <f>G98-F98</f>
        <v>-132.2</v>
      </c>
      <c r="N98" s="29"/>
    </row>
    <row r="99" spans="1:14" s="33" customFormat="1" ht="13.5">
      <c r="A99" s="108" t="s">
        <v>75</v>
      </c>
      <c r="B99" s="116" t="s">
        <v>139</v>
      </c>
      <c r="C99" s="110">
        <f>C100+C104</f>
        <v>48477.6</v>
      </c>
      <c r="D99" s="110">
        <f>D100+D104</f>
        <v>48477.6</v>
      </c>
      <c r="E99" s="110">
        <f>E100+E104</f>
        <v>7945.5</v>
      </c>
      <c r="F99" s="110">
        <f>F100+F104</f>
        <v>6437.6</v>
      </c>
      <c r="G99" s="110">
        <f>G100+G104</f>
        <v>7945.5</v>
      </c>
      <c r="H99" s="111">
        <f t="shared" si="6"/>
        <v>0</v>
      </c>
      <c r="I99" s="112">
        <f t="shared" si="12"/>
        <v>1</v>
      </c>
      <c r="J99" s="113">
        <f t="shared" si="14"/>
        <v>0.075</v>
      </c>
      <c r="K99" s="114">
        <f t="shared" si="9"/>
        <v>-40532.1</v>
      </c>
      <c r="L99" s="113">
        <f t="shared" si="10"/>
        <v>0.164</v>
      </c>
      <c r="M99" s="115">
        <f t="shared" si="11"/>
        <v>1507.9</v>
      </c>
      <c r="N99" s="32"/>
    </row>
    <row r="100" spans="1:14" s="58" customFormat="1" ht="13.5">
      <c r="A100" s="165" t="s">
        <v>77</v>
      </c>
      <c r="B100" s="166" t="s">
        <v>76</v>
      </c>
      <c r="C100" s="167">
        <f>C101+C102</f>
        <v>40978.7</v>
      </c>
      <c r="D100" s="167">
        <f>D101+D102</f>
        <v>40978.7</v>
      </c>
      <c r="E100" s="167">
        <f>E101+E102</f>
        <v>6308.8</v>
      </c>
      <c r="F100" s="167">
        <f>F101+F102</f>
        <v>5269.8</v>
      </c>
      <c r="G100" s="167">
        <f>G101+G102</f>
        <v>6308.8</v>
      </c>
      <c r="H100" s="124">
        <f aca="true" t="shared" si="15" ref="H100:H128">G100-E100</f>
        <v>0</v>
      </c>
      <c r="I100" s="125">
        <f t="shared" si="12"/>
        <v>1</v>
      </c>
      <c r="J100" s="126">
        <f t="shared" si="14"/>
        <v>0.059</v>
      </c>
      <c r="K100" s="127">
        <f aca="true" t="shared" si="16" ref="K100:K128">G100-D100</f>
        <v>-34669.9</v>
      </c>
      <c r="L100" s="126">
        <f aca="true" t="shared" si="17" ref="L100:L128">G100/D100</f>
        <v>0.154</v>
      </c>
      <c r="M100" s="123">
        <f aca="true" t="shared" si="18" ref="M100:M128">G100-F100</f>
        <v>1039</v>
      </c>
      <c r="N100" s="57"/>
    </row>
    <row r="101" spans="1:14" ht="40.5">
      <c r="A101" s="19"/>
      <c r="B101" s="10" t="s">
        <v>136</v>
      </c>
      <c r="C101" s="8">
        <v>26685.9</v>
      </c>
      <c r="D101" s="8">
        <v>26685.9</v>
      </c>
      <c r="E101" s="8">
        <v>4903.4</v>
      </c>
      <c r="F101" s="8">
        <v>4591</v>
      </c>
      <c r="G101" s="8">
        <v>4903.4</v>
      </c>
      <c r="H101" s="124">
        <f t="shared" si="15"/>
        <v>0</v>
      </c>
      <c r="I101" s="125">
        <f t="shared" si="12"/>
        <v>1</v>
      </c>
      <c r="J101" s="126">
        <f t="shared" si="14"/>
        <v>0.046</v>
      </c>
      <c r="K101" s="127">
        <f t="shared" si="16"/>
        <v>-21782.5</v>
      </c>
      <c r="L101" s="126">
        <f t="shared" si="17"/>
        <v>0.184</v>
      </c>
      <c r="M101" s="123">
        <f t="shared" si="18"/>
        <v>312.4</v>
      </c>
      <c r="N101" s="29"/>
    </row>
    <row r="102" spans="1:14" ht="13.5">
      <c r="A102" s="19"/>
      <c r="B102" s="10" t="s">
        <v>137</v>
      </c>
      <c r="C102" s="8">
        <v>14292.8</v>
      </c>
      <c r="D102" s="8">
        <v>14292.8</v>
      </c>
      <c r="E102" s="8">
        <v>1405.4</v>
      </c>
      <c r="F102" s="8">
        <v>678.8</v>
      </c>
      <c r="G102" s="8">
        <v>1405.4</v>
      </c>
      <c r="H102" s="124">
        <f t="shared" si="15"/>
        <v>0</v>
      </c>
      <c r="I102" s="125">
        <f t="shared" si="12"/>
        <v>1</v>
      </c>
      <c r="J102" s="126">
        <f t="shared" si="14"/>
        <v>0.013</v>
      </c>
      <c r="K102" s="127">
        <f t="shared" si="16"/>
        <v>-12887.4</v>
      </c>
      <c r="L102" s="126">
        <f t="shared" si="17"/>
        <v>0.098</v>
      </c>
      <c r="M102" s="123">
        <f t="shared" si="18"/>
        <v>726.6</v>
      </c>
      <c r="N102" s="29"/>
    </row>
    <row r="103" spans="1:14" ht="13.5" hidden="1">
      <c r="A103" s="19"/>
      <c r="B103" s="11" t="s">
        <v>140</v>
      </c>
      <c r="C103" s="8"/>
      <c r="D103" s="8"/>
      <c r="E103" s="8"/>
      <c r="F103" s="8"/>
      <c r="G103" s="8"/>
      <c r="H103" s="124"/>
      <c r="I103" s="125"/>
      <c r="J103" s="126"/>
      <c r="K103" s="127"/>
      <c r="L103" s="126"/>
      <c r="M103" s="123"/>
      <c r="N103" s="29"/>
    </row>
    <row r="104" spans="1:14" s="58" customFormat="1" ht="13.5">
      <c r="A104" s="18" t="s">
        <v>100</v>
      </c>
      <c r="B104" s="21" t="s">
        <v>141</v>
      </c>
      <c r="C104" s="24">
        <v>7498.9</v>
      </c>
      <c r="D104" s="24">
        <v>7498.9</v>
      </c>
      <c r="E104" s="49">
        <v>1636.7</v>
      </c>
      <c r="F104" s="49">
        <v>1167.8</v>
      </c>
      <c r="G104" s="49">
        <v>1636.7</v>
      </c>
      <c r="H104" s="124">
        <f t="shared" si="15"/>
        <v>0</v>
      </c>
      <c r="I104" s="125">
        <f t="shared" si="12"/>
        <v>1</v>
      </c>
      <c r="J104" s="126">
        <f>G104/$G$128</f>
        <v>0.015</v>
      </c>
      <c r="K104" s="127">
        <f t="shared" si="16"/>
        <v>-5862.2</v>
      </c>
      <c r="L104" s="126">
        <f t="shared" si="17"/>
        <v>0.218</v>
      </c>
      <c r="M104" s="123">
        <f t="shared" si="18"/>
        <v>468.9</v>
      </c>
      <c r="N104" s="57"/>
    </row>
    <row r="105" spans="1:14" ht="13.5">
      <c r="A105" s="168"/>
      <c r="B105" s="169" t="s">
        <v>196</v>
      </c>
      <c r="C105" s="169"/>
      <c r="D105" s="170"/>
      <c r="E105" s="170"/>
      <c r="F105" s="170"/>
      <c r="G105" s="170"/>
      <c r="H105" s="124"/>
      <c r="I105" s="125"/>
      <c r="J105" s="126"/>
      <c r="K105" s="127"/>
      <c r="L105" s="126"/>
      <c r="M105" s="123"/>
      <c r="N105" s="29"/>
    </row>
    <row r="106" spans="1:14" ht="13.5">
      <c r="A106" s="168"/>
      <c r="B106" s="160" t="s">
        <v>138</v>
      </c>
      <c r="C106" s="161">
        <v>25905.1</v>
      </c>
      <c r="D106" s="161">
        <f>5357.4+20545.9</f>
        <v>25903.3</v>
      </c>
      <c r="E106" s="161">
        <f>1373+3910.6</f>
        <v>5283.6</v>
      </c>
      <c r="F106" s="161">
        <v>4408.5</v>
      </c>
      <c r="G106" s="161">
        <f>1373+3910.6</f>
        <v>5283.6</v>
      </c>
      <c r="H106" s="124">
        <f>G106-E106</f>
        <v>0</v>
      </c>
      <c r="I106" s="125">
        <f>IF(E106=0,"0,0%",G106/E106)</f>
        <v>1</v>
      </c>
      <c r="J106" s="126">
        <f aca="true" t="shared" si="19" ref="J106:J115">G106/$G$128</f>
        <v>0.05</v>
      </c>
      <c r="K106" s="127">
        <f>G106-D106</f>
        <v>-20619.7</v>
      </c>
      <c r="L106" s="126">
        <f>G106/D106</f>
        <v>0.204</v>
      </c>
      <c r="M106" s="123">
        <f>G106-F106</f>
        <v>875.1</v>
      </c>
      <c r="N106" s="29"/>
    </row>
    <row r="107" spans="1:14" ht="13.5">
      <c r="A107" s="159"/>
      <c r="B107" s="160" t="s">
        <v>142</v>
      </c>
      <c r="C107" s="161">
        <f>141.4+3654.2</f>
        <v>3795.6</v>
      </c>
      <c r="D107" s="161">
        <f>141.4+3654.2</f>
        <v>3795.6</v>
      </c>
      <c r="E107" s="161">
        <f>40.5+791.8</f>
        <v>832.3</v>
      </c>
      <c r="F107" s="161">
        <v>1108.4</v>
      </c>
      <c r="G107" s="161">
        <f>40.5+791.8</f>
        <v>832.3</v>
      </c>
      <c r="H107" s="124">
        <f>G107-E107</f>
        <v>0</v>
      </c>
      <c r="I107" s="125">
        <f>IF(E107=0,"0,0%",G107/E107)</f>
        <v>1</v>
      </c>
      <c r="J107" s="126">
        <f t="shared" si="19"/>
        <v>0.008</v>
      </c>
      <c r="K107" s="127">
        <f>G107-D107</f>
        <v>-2963.3</v>
      </c>
      <c r="L107" s="126">
        <f>G107/D107</f>
        <v>0.219</v>
      </c>
      <c r="M107" s="123">
        <f>G107-F107</f>
        <v>-276.1</v>
      </c>
      <c r="N107" s="29"/>
    </row>
    <row r="108" spans="1:14" ht="13.5">
      <c r="A108" s="159"/>
      <c r="B108" s="163" t="s">
        <v>154</v>
      </c>
      <c r="C108" s="162">
        <v>8507.3</v>
      </c>
      <c r="D108" s="162">
        <v>8507.3</v>
      </c>
      <c r="E108" s="162">
        <v>1126.8</v>
      </c>
      <c r="F108" s="162">
        <v>380.9</v>
      </c>
      <c r="G108" s="162">
        <v>1126.8</v>
      </c>
      <c r="H108" s="124">
        <f>G108-E108</f>
        <v>0</v>
      </c>
      <c r="I108" s="125">
        <f>IF(E108=0,"0,0%",G108/E108)</f>
        <v>1</v>
      </c>
      <c r="J108" s="126">
        <f t="shared" si="19"/>
        <v>0.011</v>
      </c>
      <c r="K108" s="127">
        <f>G108-D108</f>
        <v>-7380.5</v>
      </c>
      <c r="L108" s="126">
        <f>G108/D108</f>
        <v>0.132</v>
      </c>
      <c r="M108" s="123">
        <f>G108-F108</f>
        <v>745.9</v>
      </c>
      <c r="N108" s="29"/>
    </row>
    <row r="109" spans="1:14" s="33" customFormat="1" ht="13.5">
      <c r="A109" s="108" t="s">
        <v>143</v>
      </c>
      <c r="B109" s="116" t="s">
        <v>144</v>
      </c>
      <c r="C109" s="110">
        <f>C110+C111</f>
        <v>287.6</v>
      </c>
      <c r="D109" s="110">
        <f>D110+D111</f>
        <v>784.6</v>
      </c>
      <c r="E109" s="110">
        <f>E110+E111</f>
        <v>519.3</v>
      </c>
      <c r="F109" s="110">
        <f>F110+F111</f>
        <v>76.9</v>
      </c>
      <c r="G109" s="110">
        <f>G110+G111</f>
        <v>519.3</v>
      </c>
      <c r="H109" s="111">
        <f t="shared" si="15"/>
        <v>0</v>
      </c>
      <c r="I109" s="112">
        <f t="shared" si="12"/>
        <v>1</v>
      </c>
      <c r="J109" s="113">
        <f t="shared" si="19"/>
        <v>0.005</v>
      </c>
      <c r="K109" s="114">
        <f t="shared" si="16"/>
        <v>-265.3</v>
      </c>
      <c r="L109" s="113">
        <f t="shared" si="17"/>
        <v>0.662</v>
      </c>
      <c r="M109" s="115">
        <f t="shared" si="18"/>
        <v>442.4</v>
      </c>
      <c r="N109" s="32"/>
    </row>
    <row r="110" spans="1:14" s="58" customFormat="1" ht="13.5">
      <c r="A110" s="18" t="s">
        <v>79</v>
      </c>
      <c r="B110" s="21" t="s">
        <v>80</v>
      </c>
      <c r="C110" s="49">
        <v>287.6</v>
      </c>
      <c r="D110" s="49">
        <v>287.6</v>
      </c>
      <c r="E110" s="49">
        <v>62.3</v>
      </c>
      <c r="F110" s="49">
        <v>32.9</v>
      </c>
      <c r="G110" s="49">
        <v>62.3</v>
      </c>
      <c r="H110" s="124">
        <f t="shared" si="15"/>
        <v>0</v>
      </c>
      <c r="I110" s="125">
        <f t="shared" si="12"/>
        <v>1</v>
      </c>
      <c r="J110" s="126">
        <f t="shared" si="19"/>
        <v>0.001</v>
      </c>
      <c r="K110" s="127">
        <f t="shared" si="16"/>
        <v>-225.3</v>
      </c>
      <c r="L110" s="126">
        <f t="shared" si="17"/>
        <v>0.217</v>
      </c>
      <c r="M110" s="123">
        <f t="shared" si="18"/>
        <v>29.4</v>
      </c>
      <c r="N110" s="57"/>
    </row>
    <row r="111" spans="1:14" s="58" customFormat="1" ht="13.5">
      <c r="A111" s="18" t="s">
        <v>72</v>
      </c>
      <c r="B111" s="21" t="s">
        <v>73</v>
      </c>
      <c r="C111" s="49">
        <v>0</v>
      </c>
      <c r="D111" s="49">
        <v>497</v>
      </c>
      <c r="E111" s="49">
        <v>457</v>
      </c>
      <c r="F111" s="49">
        <v>44</v>
      </c>
      <c r="G111" s="49">
        <v>457</v>
      </c>
      <c r="H111" s="124">
        <f t="shared" si="15"/>
        <v>0</v>
      </c>
      <c r="I111" s="125">
        <f t="shared" si="12"/>
        <v>1</v>
      </c>
      <c r="J111" s="126">
        <f t="shared" si="19"/>
        <v>0.004</v>
      </c>
      <c r="K111" s="127">
        <f t="shared" si="16"/>
        <v>-40</v>
      </c>
      <c r="L111" s="126">
        <f t="shared" si="17"/>
        <v>0.92</v>
      </c>
      <c r="M111" s="123">
        <f t="shared" si="18"/>
        <v>413</v>
      </c>
      <c r="N111" s="57"/>
    </row>
    <row r="112" spans="1:14" s="33" customFormat="1" ht="13.5">
      <c r="A112" s="108" t="s">
        <v>145</v>
      </c>
      <c r="B112" s="116" t="s">
        <v>61</v>
      </c>
      <c r="C112" s="115">
        <f>C113</f>
        <v>5250.3</v>
      </c>
      <c r="D112" s="115">
        <f>D113</f>
        <v>5250.3</v>
      </c>
      <c r="E112" s="115">
        <f>E113</f>
        <v>1114.1</v>
      </c>
      <c r="F112" s="115">
        <f>F113</f>
        <v>792.4</v>
      </c>
      <c r="G112" s="115">
        <f>G113</f>
        <v>1114.1</v>
      </c>
      <c r="H112" s="111">
        <f t="shared" si="15"/>
        <v>0</v>
      </c>
      <c r="I112" s="112">
        <f t="shared" si="12"/>
        <v>1</v>
      </c>
      <c r="J112" s="113">
        <f t="shared" si="19"/>
        <v>0.01</v>
      </c>
      <c r="K112" s="114">
        <f t="shared" si="16"/>
        <v>-4136.2</v>
      </c>
      <c r="L112" s="113">
        <f t="shared" si="17"/>
        <v>0.212</v>
      </c>
      <c r="M112" s="115">
        <f t="shared" si="18"/>
        <v>321.7</v>
      </c>
      <c r="N112" s="32"/>
    </row>
    <row r="113" spans="1:14" s="58" customFormat="1" ht="13.5">
      <c r="A113" s="18" t="s">
        <v>101</v>
      </c>
      <c r="B113" s="47" t="s">
        <v>146</v>
      </c>
      <c r="C113" s="49">
        <v>5250.3</v>
      </c>
      <c r="D113" s="49">
        <v>5250.3</v>
      </c>
      <c r="E113" s="49">
        <v>1114.1</v>
      </c>
      <c r="F113" s="49">
        <v>792.4</v>
      </c>
      <c r="G113" s="49">
        <v>1114.1</v>
      </c>
      <c r="H113" s="124">
        <f t="shared" si="15"/>
        <v>0</v>
      </c>
      <c r="I113" s="125">
        <f aca="true" t="shared" si="20" ref="I113:I128">IF(E113=0,"0,0%",G113/E113)</f>
        <v>1</v>
      </c>
      <c r="J113" s="126">
        <f t="shared" si="19"/>
        <v>0.01</v>
      </c>
      <c r="K113" s="127">
        <f t="shared" si="16"/>
        <v>-4136.2</v>
      </c>
      <c r="L113" s="126">
        <f t="shared" si="17"/>
        <v>0.212</v>
      </c>
      <c r="M113" s="123">
        <f t="shared" si="18"/>
        <v>321.7</v>
      </c>
      <c r="N113" s="57"/>
    </row>
    <row r="114" spans="1:14" ht="40.5">
      <c r="A114" s="19"/>
      <c r="B114" s="10" t="s">
        <v>136</v>
      </c>
      <c r="C114" s="8">
        <v>4224.8</v>
      </c>
      <c r="D114" s="8">
        <v>4224.8</v>
      </c>
      <c r="E114" s="8">
        <v>834.9</v>
      </c>
      <c r="F114" s="8">
        <v>713.8</v>
      </c>
      <c r="G114" s="8">
        <v>834.9</v>
      </c>
      <c r="H114" s="124">
        <f t="shared" si="15"/>
        <v>0</v>
      </c>
      <c r="I114" s="125">
        <f t="shared" si="20"/>
        <v>1</v>
      </c>
      <c r="J114" s="126">
        <f t="shared" si="19"/>
        <v>0.008</v>
      </c>
      <c r="K114" s="127">
        <f t="shared" si="16"/>
        <v>-3389.9</v>
      </c>
      <c r="L114" s="126">
        <f t="shared" si="17"/>
        <v>0.198</v>
      </c>
      <c r="M114" s="123">
        <f t="shared" si="18"/>
        <v>121.1</v>
      </c>
      <c r="N114" s="29"/>
    </row>
    <row r="115" spans="1:14" ht="13.5">
      <c r="A115" s="19"/>
      <c r="B115" s="10" t="s">
        <v>137</v>
      </c>
      <c r="C115" s="8">
        <v>446</v>
      </c>
      <c r="D115" s="8">
        <v>446</v>
      </c>
      <c r="E115" s="8">
        <v>0</v>
      </c>
      <c r="F115" s="8">
        <v>78.6</v>
      </c>
      <c r="G115" s="8">
        <v>0</v>
      </c>
      <c r="H115" s="124">
        <f t="shared" si="15"/>
        <v>0</v>
      </c>
      <c r="I115" s="125" t="str">
        <f t="shared" si="20"/>
        <v>0,0%</v>
      </c>
      <c r="J115" s="126">
        <f t="shared" si="19"/>
        <v>0</v>
      </c>
      <c r="K115" s="127">
        <f t="shared" si="16"/>
        <v>-446</v>
      </c>
      <c r="L115" s="126">
        <f t="shared" si="17"/>
        <v>0</v>
      </c>
      <c r="M115" s="123">
        <f t="shared" si="18"/>
        <v>-78.6</v>
      </c>
      <c r="N115" s="29"/>
    </row>
    <row r="116" spans="1:14" ht="13.5">
      <c r="A116" s="168"/>
      <c r="B116" s="169" t="s">
        <v>197</v>
      </c>
      <c r="C116" s="169"/>
      <c r="D116" s="170"/>
      <c r="E116" s="170"/>
      <c r="F116" s="170"/>
      <c r="G116" s="170"/>
      <c r="H116" s="124"/>
      <c r="I116" s="125"/>
      <c r="J116" s="126"/>
      <c r="K116" s="127"/>
      <c r="L116" s="126"/>
      <c r="M116" s="123"/>
      <c r="N116" s="29"/>
    </row>
    <row r="117" spans="1:14" ht="13.5">
      <c r="A117" s="168"/>
      <c r="B117" s="160" t="s">
        <v>138</v>
      </c>
      <c r="C117" s="161">
        <v>3091.4</v>
      </c>
      <c r="D117" s="161">
        <v>3091.4</v>
      </c>
      <c r="E117" s="161">
        <v>666.1</v>
      </c>
      <c r="F117" s="161">
        <v>540.2</v>
      </c>
      <c r="G117" s="161">
        <v>666.1</v>
      </c>
      <c r="H117" s="124">
        <f>G117-E117</f>
        <v>0</v>
      </c>
      <c r="I117" s="125">
        <f>IF(E117=0,"0,0%",G117/E117)</f>
        <v>1</v>
      </c>
      <c r="J117" s="126">
        <f aca="true" t="shared" si="21" ref="J117:J123">G117/$G$128</f>
        <v>0.006</v>
      </c>
      <c r="K117" s="127">
        <f>G117-D117</f>
        <v>-2425.3</v>
      </c>
      <c r="L117" s="126">
        <f>G117/D117</f>
        <v>0.215</v>
      </c>
      <c r="M117" s="123">
        <f>G117-F117</f>
        <v>125.9</v>
      </c>
      <c r="N117" s="29"/>
    </row>
    <row r="118" spans="1:14" ht="13.5">
      <c r="A118" s="159"/>
      <c r="B118" s="160" t="s">
        <v>142</v>
      </c>
      <c r="C118" s="161">
        <v>906.3</v>
      </c>
      <c r="D118" s="161">
        <v>906.3</v>
      </c>
      <c r="E118" s="161">
        <v>107</v>
      </c>
      <c r="F118" s="161">
        <v>115.6</v>
      </c>
      <c r="G118" s="161">
        <v>107</v>
      </c>
      <c r="H118" s="124">
        <f>G118-E118</f>
        <v>0</v>
      </c>
      <c r="I118" s="125">
        <f>IF(E118=0,"0,0%",G118/E118)</f>
        <v>1</v>
      </c>
      <c r="J118" s="126">
        <f t="shared" si="21"/>
        <v>0.001</v>
      </c>
      <c r="K118" s="127">
        <f>G118-D118</f>
        <v>-799.3</v>
      </c>
      <c r="L118" s="126">
        <f>G118/D118</f>
        <v>0.118</v>
      </c>
      <c r="M118" s="123">
        <f>G118-F118</f>
        <v>-8.6</v>
      </c>
      <c r="N118" s="29"/>
    </row>
    <row r="119" spans="1:14" ht="13.5">
      <c r="A119" s="159"/>
      <c r="B119" s="163" t="s">
        <v>154</v>
      </c>
      <c r="C119" s="162">
        <v>1025.5</v>
      </c>
      <c r="D119" s="162">
        <v>1025.5</v>
      </c>
      <c r="E119" s="162">
        <v>279.2</v>
      </c>
      <c r="F119" s="162">
        <v>78.6</v>
      </c>
      <c r="G119" s="162">
        <v>279.2</v>
      </c>
      <c r="H119" s="124">
        <f>G119-E119</f>
        <v>0</v>
      </c>
      <c r="I119" s="125">
        <f>IF(E119=0,"0,0%",G119/E119)</f>
        <v>1</v>
      </c>
      <c r="J119" s="126">
        <f t="shared" si="21"/>
        <v>0.003</v>
      </c>
      <c r="K119" s="127">
        <f>G119-D119</f>
        <v>-746.3</v>
      </c>
      <c r="L119" s="126">
        <f>G119/D119</f>
        <v>0.272</v>
      </c>
      <c r="M119" s="123">
        <f>G119-F119</f>
        <v>200.6</v>
      </c>
      <c r="N119" s="29"/>
    </row>
    <row r="120" spans="1:14" s="33" customFormat="1" ht="13.5">
      <c r="A120" s="119">
        <v>1300</v>
      </c>
      <c r="B120" s="116" t="s">
        <v>147</v>
      </c>
      <c r="C120" s="115">
        <f>C121</f>
        <v>3932.5</v>
      </c>
      <c r="D120" s="115">
        <f>D121</f>
        <v>3932.5</v>
      </c>
      <c r="E120" s="115">
        <f>E121</f>
        <v>955.1</v>
      </c>
      <c r="F120" s="115">
        <f>F121</f>
        <v>521.9</v>
      </c>
      <c r="G120" s="115">
        <f>G121</f>
        <v>955.1</v>
      </c>
      <c r="H120" s="111">
        <f t="shared" si="15"/>
        <v>0</v>
      </c>
      <c r="I120" s="112">
        <f t="shared" si="20"/>
        <v>1</v>
      </c>
      <c r="J120" s="113">
        <f t="shared" si="21"/>
        <v>0.009</v>
      </c>
      <c r="K120" s="114">
        <f t="shared" si="16"/>
        <v>-2977.4</v>
      </c>
      <c r="L120" s="113">
        <f t="shared" si="17"/>
        <v>0.243</v>
      </c>
      <c r="M120" s="115">
        <f t="shared" si="18"/>
        <v>433.2</v>
      </c>
      <c r="N120" s="32"/>
    </row>
    <row r="121" spans="1:14" s="58" customFormat="1" ht="27">
      <c r="A121" s="18" t="s">
        <v>98</v>
      </c>
      <c r="B121" s="47" t="s">
        <v>148</v>
      </c>
      <c r="C121" s="49">
        <v>3932.5</v>
      </c>
      <c r="D121" s="49">
        <v>3932.5</v>
      </c>
      <c r="E121" s="49">
        <v>955.1</v>
      </c>
      <c r="F121" s="49">
        <v>521.9</v>
      </c>
      <c r="G121" s="49">
        <v>955.1</v>
      </c>
      <c r="H121" s="124">
        <f t="shared" si="15"/>
        <v>0</v>
      </c>
      <c r="I121" s="125">
        <f t="shared" si="20"/>
        <v>1</v>
      </c>
      <c r="J121" s="126">
        <f t="shared" si="21"/>
        <v>0.009</v>
      </c>
      <c r="K121" s="127">
        <f t="shared" si="16"/>
        <v>-2977.4</v>
      </c>
      <c r="L121" s="126">
        <f t="shared" si="17"/>
        <v>0.243</v>
      </c>
      <c r="M121" s="123">
        <f t="shared" si="18"/>
        <v>433.2</v>
      </c>
      <c r="N121" s="57"/>
    </row>
    <row r="122" spans="1:14" s="33" customFormat="1" ht="40.5">
      <c r="A122" s="108" t="s">
        <v>150</v>
      </c>
      <c r="B122" s="117" t="s">
        <v>149</v>
      </c>
      <c r="C122" s="115">
        <f>C123</f>
        <v>6186.2</v>
      </c>
      <c r="D122" s="115">
        <f>D123</f>
        <v>9836.2</v>
      </c>
      <c r="E122" s="115">
        <f>E123</f>
        <v>2063.6</v>
      </c>
      <c r="F122" s="115">
        <f>F123</f>
        <v>1781.8</v>
      </c>
      <c r="G122" s="115">
        <f>G123</f>
        <v>2063.6</v>
      </c>
      <c r="H122" s="111">
        <f t="shared" si="15"/>
        <v>0</v>
      </c>
      <c r="I122" s="112">
        <f t="shared" si="20"/>
        <v>1</v>
      </c>
      <c r="J122" s="113">
        <f t="shared" si="21"/>
        <v>0.019</v>
      </c>
      <c r="K122" s="114">
        <f t="shared" si="16"/>
        <v>-7772.6</v>
      </c>
      <c r="L122" s="113">
        <f t="shared" si="17"/>
        <v>0.21</v>
      </c>
      <c r="M122" s="115">
        <f t="shared" si="18"/>
        <v>281.8</v>
      </c>
      <c r="N122" s="32"/>
    </row>
    <row r="123" spans="1:14" s="58" customFormat="1" ht="13.5">
      <c r="A123" s="165" t="s">
        <v>102</v>
      </c>
      <c r="B123" s="171" t="s">
        <v>151</v>
      </c>
      <c r="C123" s="149">
        <f>C125+C126+C127</f>
        <v>6186.2</v>
      </c>
      <c r="D123" s="149">
        <f>D125+D126+D127</f>
        <v>9836.2</v>
      </c>
      <c r="E123" s="149">
        <f>E125+E126+E127</f>
        <v>2063.6</v>
      </c>
      <c r="F123" s="149">
        <f>F125+F126+F127</f>
        <v>1781.8</v>
      </c>
      <c r="G123" s="149">
        <f>G125+G126+G127</f>
        <v>2063.6</v>
      </c>
      <c r="H123" s="124">
        <f t="shared" si="15"/>
        <v>0</v>
      </c>
      <c r="I123" s="125">
        <f t="shared" si="20"/>
        <v>1</v>
      </c>
      <c r="J123" s="126">
        <f t="shared" si="21"/>
        <v>0.019</v>
      </c>
      <c r="K123" s="127">
        <f t="shared" si="16"/>
        <v>-7772.6</v>
      </c>
      <c r="L123" s="126">
        <f t="shared" si="17"/>
        <v>0.21</v>
      </c>
      <c r="M123" s="123">
        <f t="shared" si="18"/>
        <v>281.8</v>
      </c>
      <c r="N123" s="57"/>
    </row>
    <row r="124" spans="1:14" s="58" customFormat="1" ht="13.5">
      <c r="A124" s="18"/>
      <c r="B124" s="47" t="s">
        <v>27</v>
      </c>
      <c r="C124" s="49"/>
      <c r="D124" s="49"/>
      <c r="E124" s="49"/>
      <c r="F124" s="49"/>
      <c r="G124" s="49"/>
      <c r="H124" s="150"/>
      <c r="I124" s="125"/>
      <c r="J124" s="139"/>
      <c r="K124" s="140"/>
      <c r="L124" s="139"/>
      <c r="M124" s="149"/>
      <c r="N124" s="57"/>
    </row>
    <row r="125" spans="1:14" s="58" customFormat="1" ht="40.5">
      <c r="A125" s="18"/>
      <c r="B125" s="48" t="s">
        <v>92</v>
      </c>
      <c r="C125" s="49">
        <v>6186.2</v>
      </c>
      <c r="D125" s="49">
        <v>6186.2</v>
      </c>
      <c r="E125" s="49">
        <v>1400</v>
      </c>
      <c r="F125" s="49">
        <v>1781.8</v>
      </c>
      <c r="G125" s="49">
        <v>1400</v>
      </c>
      <c r="H125" s="150">
        <f t="shared" si="15"/>
        <v>0</v>
      </c>
      <c r="I125" s="125">
        <f t="shared" si="20"/>
        <v>1</v>
      </c>
      <c r="J125" s="139">
        <f>G125/$G$128</f>
        <v>0.013</v>
      </c>
      <c r="K125" s="140">
        <f t="shared" si="16"/>
        <v>-4786.2</v>
      </c>
      <c r="L125" s="139">
        <f t="shared" si="17"/>
        <v>0.226</v>
      </c>
      <c r="M125" s="149">
        <f t="shared" si="18"/>
        <v>-381.8</v>
      </c>
      <c r="N125" s="57"/>
    </row>
    <row r="126" spans="1:14" s="58" customFormat="1" ht="40.5">
      <c r="A126" s="18"/>
      <c r="B126" s="48" t="s">
        <v>152</v>
      </c>
      <c r="C126" s="49">
        <v>0</v>
      </c>
      <c r="D126" s="49">
        <v>1625</v>
      </c>
      <c r="E126" s="49">
        <v>295.5</v>
      </c>
      <c r="F126" s="49">
        <v>0</v>
      </c>
      <c r="G126" s="49">
        <v>295.5</v>
      </c>
      <c r="H126" s="150">
        <f t="shared" si="15"/>
        <v>0</v>
      </c>
      <c r="I126" s="125">
        <f t="shared" si="20"/>
        <v>1</v>
      </c>
      <c r="J126" s="139">
        <f>G126/$G$128</f>
        <v>0.003</v>
      </c>
      <c r="K126" s="140">
        <f t="shared" si="16"/>
        <v>-1329.5</v>
      </c>
      <c r="L126" s="139">
        <f t="shared" si="17"/>
        <v>0.182</v>
      </c>
      <c r="M126" s="149">
        <f t="shared" si="18"/>
        <v>295.5</v>
      </c>
      <c r="N126" s="57"/>
    </row>
    <row r="127" spans="1:14" s="58" customFormat="1" ht="40.5">
      <c r="A127" s="18"/>
      <c r="B127" s="48" t="s">
        <v>153</v>
      </c>
      <c r="C127" s="49">
        <v>0</v>
      </c>
      <c r="D127" s="49">
        <v>2025</v>
      </c>
      <c r="E127" s="49">
        <v>368.1</v>
      </c>
      <c r="F127" s="49">
        <v>0</v>
      </c>
      <c r="G127" s="49">
        <v>368.1</v>
      </c>
      <c r="H127" s="150">
        <f t="shared" si="15"/>
        <v>0</v>
      </c>
      <c r="I127" s="125">
        <f t="shared" si="20"/>
        <v>1</v>
      </c>
      <c r="J127" s="139">
        <f>G127/$G$128</f>
        <v>0.003</v>
      </c>
      <c r="K127" s="140">
        <f t="shared" si="16"/>
        <v>-1656.9</v>
      </c>
      <c r="L127" s="139">
        <f t="shared" si="17"/>
        <v>0.182</v>
      </c>
      <c r="M127" s="149">
        <f t="shared" si="18"/>
        <v>368.1</v>
      </c>
      <c r="N127" s="57"/>
    </row>
    <row r="128" spans="1:14" s="33" customFormat="1" ht="16.5">
      <c r="A128" s="108"/>
      <c r="B128" s="120" t="s">
        <v>67</v>
      </c>
      <c r="C128" s="115">
        <f>C45+C60+C64+C77+C91+C99+C109+C112+C120+C122</f>
        <v>421788.7</v>
      </c>
      <c r="D128" s="115">
        <f>D45+D60+D64+D77+D91+D99+D109+D112+D120+D122</f>
        <v>467998.1</v>
      </c>
      <c r="E128" s="115">
        <f>E45+E60+E64+E77+E91+E99+E109+E112+E120+E122</f>
        <v>106432.8</v>
      </c>
      <c r="F128" s="115">
        <f>F45+F60+F64+F77+F91+F99+F109+F112+F120+F122</f>
        <v>95693.2</v>
      </c>
      <c r="G128" s="115">
        <f>G45+G60+G64+G77+G91+G99+G109+G112+G120+G122</f>
        <v>106432.6</v>
      </c>
      <c r="H128" s="111">
        <f t="shared" si="15"/>
        <v>-0.2</v>
      </c>
      <c r="I128" s="112">
        <f t="shared" si="20"/>
        <v>1</v>
      </c>
      <c r="J128" s="113">
        <f>G128/$G$128</f>
        <v>1</v>
      </c>
      <c r="K128" s="114">
        <f t="shared" si="16"/>
        <v>-361565.5</v>
      </c>
      <c r="L128" s="113">
        <f t="shared" si="17"/>
        <v>0.227</v>
      </c>
      <c r="M128" s="115">
        <f t="shared" si="18"/>
        <v>10739.4</v>
      </c>
      <c r="N128" s="32"/>
    </row>
    <row r="129" spans="1:14" s="1" customFormat="1" ht="16.5">
      <c r="A129" s="42"/>
      <c r="B129" s="97"/>
      <c r="C129" s="107"/>
      <c r="D129" s="107"/>
      <c r="E129" s="107"/>
      <c r="F129" s="107"/>
      <c r="G129" s="107"/>
      <c r="H129" s="144"/>
      <c r="I129" s="145"/>
      <c r="J129" s="146"/>
      <c r="K129" s="147"/>
      <c r="L129" s="146"/>
      <c r="M129" s="148"/>
      <c r="N129" s="27"/>
    </row>
    <row r="130" spans="1:14" ht="13.5">
      <c r="A130" s="20"/>
      <c r="B130" s="7" t="s">
        <v>84</v>
      </c>
      <c r="C130" s="197">
        <f>C42-C128</f>
        <v>-4583.2</v>
      </c>
      <c r="D130" s="197">
        <f>D42-D128</f>
        <v>-7357.4</v>
      </c>
      <c r="E130" s="197">
        <f>E42-E128</f>
        <v>-7357.4</v>
      </c>
      <c r="F130" s="197">
        <f>F42-F128</f>
        <v>-3412</v>
      </c>
      <c r="G130" s="197">
        <f>G42-G128</f>
        <v>-7516.8</v>
      </c>
      <c r="H130" s="199">
        <f>G130-E130</f>
        <v>-159.4</v>
      </c>
      <c r="I130" s="201">
        <f aca="true" t="shared" si="22" ref="I130:I138">G130/E130</f>
        <v>1.022</v>
      </c>
      <c r="J130" s="189">
        <f>G130/G130</f>
        <v>1</v>
      </c>
      <c r="K130" s="191">
        <f aca="true" t="shared" si="23" ref="K130:K136">G130-D130</f>
        <v>-159.4</v>
      </c>
      <c r="L130" s="189">
        <f>G130/D130</f>
        <v>1.022</v>
      </c>
      <c r="M130" s="194">
        <f>G130-F130</f>
        <v>-4104.8</v>
      </c>
      <c r="N130" s="29"/>
    </row>
    <row r="131" spans="1:14" ht="13.5">
      <c r="A131" s="20"/>
      <c r="B131" s="7" t="s">
        <v>85</v>
      </c>
      <c r="C131" s="198"/>
      <c r="D131" s="198"/>
      <c r="E131" s="198"/>
      <c r="F131" s="198"/>
      <c r="G131" s="198"/>
      <c r="H131" s="200"/>
      <c r="I131" s="202"/>
      <c r="J131" s="190"/>
      <c r="K131" s="192"/>
      <c r="L131" s="190"/>
      <c r="M131" s="195"/>
      <c r="N131" s="29"/>
    </row>
    <row r="132" spans="1:14" ht="27">
      <c r="A132" s="20"/>
      <c r="B132" s="7" t="s">
        <v>86</v>
      </c>
      <c r="C132" s="6">
        <f>C133+C136</f>
        <v>4583.2</v>
      </c>
      <c r="D132" s="6">
        <f>D133+D136</f>
        <v>7357.4</v>
      </c>
      <c r="E132" s="6">
        <f>E133+E136</f>
        <v>7357.4</v>
      </c>
      <c r="F132" s="6">
        <f>F133+F136</f>
        <v>3412</v>
      </c>
      <c r="G132" s="6">
        <f>G133+G136</f>
        <v>7516.8</v>
      </c>
      <c r="H132" s="111">
        <f aca="true" t="shared" si="24" ref="H132:H138">G132-E132</f>
        <v>159.4</v>
      </c>
      <c r="I132" s="112">
        <f t="shared" si="22"/>
        <v>1.022</v>
      </c>
      <c r="J132" s="113">
        <f>G132/G132</f>
        <v>1</v>
      </c>
      <c r="K132" s="114">
        <f t="shared" si="23"/>
        <v>159.4</v>
      </c>
      <c r="L132" s="113">
        <f aca="true" t="shared" si="25" ref="L132:L138">G132/D132</f>
        <v>1.022</v>
      </c>
      <c r="M132" s="115">
        <f>G132-F132</f>
        <v>4104.8</v>
      </c>
      <c r="N132" s="29"/>
    </row>
    <row r="133" spans="1:14" ht="27">
      <c r="A133" s="59" t="s">
        <v>113</v>
      </c>
      <c r="B133" s="98" t="s">
        <v>114</v>
      </c>
      <c r="C133" s="50">
        <f>C134-C135</f>
        <v>4583.2</v>
      </c>
      <c r="D133" s="50">
        <f>D134-D135</f>
        <v>4583.2</v>
      </c>
      <c r="E133" s="50">
        <f>E134-E135</f>
        <v>4549.8</v>
      </c>
      <c r="F133" s="50">
        <f>F134-F135</f>
        <v>0</v>
      </c>
      <c r="G133" s="50">
        <f>G134-G135</f>
        <v>0</v>
      </c>
      <c r="H133" s="111">
        <f t="shared" si="24"/>
        <v>-4549.8</v>
      </c>
      <c r="I133" s="112">
        <f t="shared" si="22"/>
        <v>0</v>
      </c>
      <c r="J133" s="113"/>
      <c r="K133" s="114">
        <f t="shared" si="23"/>
        <v>-4583.2</v>
      </c>
      <c r="L133" s="113">
        <f t="shared" si="25"/>
        <v>0</v>
      </c>
      <c r="M133" s="149">
        <f>G133-F133</f>
        <v>0</v>
      </c>
      <c r="N133" s="29"/>
    </row>
    <row r="134" spans="1:14" s="58" customFormat="1" ht="27">
      <c r="A134" s="19" t="s">
        <v>109</v>
      </c>
      <c r="B134" s="99" t="s">
        <v>110</v>
      </c>
      <c r="C134" s="49">
        <v>13083.2</v>
      </c>
      <c r="D134" s="49">
        <v>13083.2</v>
      </c>
      <c r="E134" s="49">
        <v>4549.8</v>
      </c>
      <c r="F134" s="49">
        <v>0</v>
      </c>
      <c r="G134" s="49">
        <v>0</v>
      </c>
      <c r="H134" s="150">
        <f t="shared" si="24"/>
        <v>-4549.8</v>
      </c>
      <c r="I134" s="151">
        <f t="shared" si="22"/>
        <v>0</v>
      </c>
      <c r="J134" s="139"/>
      <c r="K134" s="140">
        <f t="shared" si="23"/>
        <v>-13083.2</v>
      </c>
      <c r="L134" s="139">
        <f t="shared" si="25"/>
        <v>0</v>
      </c>
      <c r="M134" s="149">
        <f>G134-F134</f>
        <v>0</v>
      </c>
      <c r="N134" s="57"/>
    </row>
    <row r="135" spans="1:14" s="58" customFormat="1" ht="27">
      <c r="A135" s="19" t="s">
        <v>111</v>
      </c>
      <c r="B135" s="99" t="s">
        <v>112</v>
      </c>
      <c r="C135" s="49">
        <v>8500</v>
      </c>
      <c r="D135" s="49">
        <v>8500</v>
      </c>
      <c r="E135" s="49">
        <v>0</v>
      </c>
      <c r="F135" s="49">
        <v>0</v>
      </c>
      <c r="G135" s="49">
        <v>0</v>
      </c>
      <c r="H135" s="150">
        <f t="shared" si="24"/>
        <v>0</v>
      </c>
      <c r="I135" s="151"/>
      <c r="J135" s="139"/>
      <c r="K135" s="140">
        <f t="shared" si="23"/>
        <v>-8500</v>
      </c>
      <c r="L135" s="139">
        <f t="shared" si="25"/>
        <v>0</v>
      </c>
      <c r="M135" s="149">
        <f>G135-F135</f>
        <v>0</v>
      </c>
      <c r="N135" s="57"/>
    </row>
    <row r="136" spans="1:14" ht="27">
      <c r="A136" s="59" t="s">
        <v>115</v>
      </c>
      <c r="B136" s="98" t="s">
        <v>116</v>
      </c>
      <c r="C136" s="50">
        <f>C137+C138</f>
        <v>0</v>
      </c>
      <c r="D136" s="50">
        <f>D137+D138</f>
        <v>2774.2</v>
      </c>
      <c r="E136" s="50">
        <f>E137+E138</f>
        <v>2807.6</v>
      </c>
      <c r="F136" s="50">
        <f>F137+F138</f>
        <v>3412</v>
      </c>
      <c r="G136" s="50">
        <f>G137+G138</f>
        <v>7516.8</v>
      </c>
      <c r="H136" s="111">
        <f t="shared" si="24"/>
        <v>4709.2</v>
      </c>
      <c r="I136" s="112">
        <f t="shared" si="22"/>
        <v>2.677</v>
      </c>
      <c r="J136" s="113">
        <f>G132/G136</f>
        <v>1</v>
      </c>
      <c r="K136" s="114">
        <f t="shared" si="23"/>
        <v>4742.6</v>
      </c>
      <c r="L136" s="113">
        <f t="shared" si="25"/>
        <v>2.71</v>
      </c>
      <c r="M136" s="143">
        <f>G136-F136</f>
        <v>4104.8</v>
      </c>
      <c r="N136" s="29"/>
    </row>
    <row r="137" spans="1:14" ht="27">
      <c r="A137" s="18" t="s">
        <v>117</v>
      </c>
      <c r="B137" s="9" t="s">
        <v>62</v>
      </c>
      <c r="C137" s="49">
        <f>-(C42+C134)</f>
        <v>-430288.7</v>
      </c>
      <c r="D137" s="49">
        <f>-(D42+D134)</f>
        <v>-473723.9</v>
      </c>
      <c r="E137" s="49">
        <f>-(E42+E134)</f>
        <v>-103625.2</v>
      </c>
      <c r="F137" s="49">
        <v>-92281.2</v>
      </c>
      <c r="G137" s="49">
        <v>-100981.7</v>
      </c>
      <c r="H137" s="150">
        <f t="shared" si="24"/>
        <v>2643.5</v>
      </c>
      <c r="I137" s="151">
        <f t="shared" si="22"/>
        <v>0.974</v>
      </c>
      <c r="J137" s="139"/>
      <c r="K137" s="127">
        <f>G137-D137</f>
        <v>372742.2</v>
      </c>
      <c r="L137" s="126">
        <f t="shared" si="25"/>
        <v>0.213</v>
      </c>
      <c r="M137" s="123">
        <f>-(M42)</f>
        <v>-6634.6</v>
      </c>
      <c r="N137" s="29"/>
    </row>
    <row r="138" spans="1:14" ht="27">
      <c r="A138" s="18" t="s">
        <v>118</v>
      </c>
      <c r="B138" s="9" t="s">
        <v>63</v>
      </c>
      <c r="C138" s="49">
        <f>C128+C135</f>
        <v>430288.7</v>
      </c>
      <c r="D138" s="49">
        <f>D128+D135</f>
        <v>476498.1</v>
      </c>
      <c r="E138" s="49">
        <f>E128+E135</f>
        <v>106432.8</v>
      </c>
      <c r="F138" s="49">
        <v>95693.2</v>
      </c>
      <c r="G138" s="49">
        <v>108498.5</v>
      </c>
      <c r="H138" s="150">
        <f t="shared" si="24"/>
        <v>2065.7</v>
      </c>
      <c r="I138" s="151">
        <f t="shared" si="22"/>
        <v>1.019</v>
      </c>
      <c r="J138" s="139"/>
      <c r="K138" s="127">
        <f>G138-D138</f>
        <v>-367999.6</v>
      </c>
      <c r="L138" s="126">
        <f t="shared" si="25"/>
        <v>0.228</v>
      </c>
      <c r="M138" s="123">
        <f>M128</f>
        <v>10739.4</v>
      </c>
      <c r="N138" s="29"/>
    </row>
    <row r="139" spans="1:14" ht="13.5">
      <c r="A139" s="19" t="s">
        <v>10</v>
      </c>
      <c r="B139" s="12" t="s">
        <v>9</v>
      </c>
      <c r="C139" s="12"/>
      <c r="D139" s="38"/>
      <c r="E139" s="8" t="s">
        <v>10</v>
      </c>
      <c r="F139" s="8"/>
      <c r="G139" s="8"/>
      <c r="H139" s="141"/>
      <c r="I139" s="142"/>
      <c r="J139" s="126"/>
      <c r="K139" s="127"/>
      <c r="L139" s="126"/>
      <c r="M139" s="123"/>
      <c r="N139" s="29"/>
    </row>
    <row r="140" spans="1:14" ht="13.5">
      <c r="A140" s="121"/>
      <c r="B140" s="122" t="s">
        <v>200</v>
      </c>
      <c r="C140" s="123">
        <f>C57+C89+C96+C106+C117</f>
        <v>100294.6</v>
      </c>
      <c r="D140" s="123">
        <f>D57+D89+D96+D106+D117</f>
        <v>97089.7</v>
      </c>
      <c r="E140" s="123">
        <f>E57+E89+E96+E106+E117</f>
        <v>22322.6</v>
      </c>
      <c r="F140" s="123">
        <f>F57+F89+F96+F106+F117</f>
        <v>17647.4</v>
      </c>
      <c r="G140" s="123">
        <f>G57+G89+G96+G106+G117</f>
        <v>22322.6</v>
      </c>
      <c r="H140" s="150">
        <f aca="true" t="shared" si="26" ref="H140:H145">G140-E140</f>
        <v>0</v>
      </c>
      <c r="I140" s="125">
        <f aca="true" t="shared" si="27" ref="I140:I145">IF(E140=0,"0,0%",G140/E140)</f>
        <v>1</v>
      </c>
      <c r="J140" s="139">
        <f aca="true" t="shared" si="28" ref="J140:J145">G140/$G$128</f>
        <v>0.21</v>
      </c>
      <c r="K140" s="140">
        <f aca="true" t="shared" si="29" ref="K140:K145">G140-D140</f>
        <v>-74767.1</v>
      </c>
      <c r="L140" s="139">
        <f aca="true" t="shared" si="30" ref="L140:L145">G140/D140</f>
        <v>0.23</v>
      </c>
      <c r="M140" s="149">
        <f aca="true" t="shared" si="31" ref="M140:M145">G140-F140</f>
        <v>4675.2</v>
      </c>
      <c r="N140" s="29"/>
    </row>
    <row r="141" spans="1:14" ht="13.5">
      <c r="A141" s="121" t="s">
        <v>10</v>
      </c>
      <c r="B141" s="122" t="s">
        <v>198</v>
      </c>
      <c r="C141" s="8">
        <v>61003.6</v>
      </c>
      <c r="D141" s="8">
        <v>57800.5</v>
      </c>
      <c r="E141" s="8">
        <v>13992.1</v>
      </c>
      <c r="F141" s="8">
        <v>11966.2</v>
      </c>
      <c r="G141" s="8">
        <v>13992.1</v>
      </c>
      <c r="H141" s="150">
        <f t="shared" si="26"/>
        <v>0</v>
      </c>
      <c r="I141" s="125">
        <f t="shared" si="27"/>
        <v>1</v>
      </c>
      <c r="J141" s="139">
        <f t="shared" si="28"/>
        <v>0.131</v>
      </c>
      <c r="K141" s="140">
        <f t="shared" si="29"/>
        <v>-43808.4</v>
      </c>
      <c r="L141" s="139">
        <f t="shared" si="30"/>
        <v>0.242</v>
      </c>
      <c r="M141" s="149">
        <f t="shared" si="31"/>
        <v>2025.9</v>
      </c>
      <c r="N141" s="29"/>
    </row>
    <row r="142" spans="1:14" ht="13.5">
      <c r="A142" s="121"/>
      <c r="B142" s="122" t="s">
        <v>199</v>
      </c>
      <c r="C142" s="8">
        <v>39291</v>
      </c>
      <c r="D142" s="8">
        <v>39289.2</v>
      </c>
      <c r="E142" s="8">
        <v>8330.5</v>
      </c>
      <c r="F142" s="8">
        <v>5681.2</v>
      </c>
      <c r="G142" s="8">
        <v>8330.5</v>
      </c>
      <c r="H142" s="150">
        <f t="shared" si="26"/>
        <v>0</v>
      </c>
      <c r="I142" s="125">
        <f t="shared" si="27"/>
        <v>1</v>
      </c>
      <c r="J142" s="139">
        <f t="shared" si="28"/>
        <v>0.078</v>
      </c>
      <c r="K142" s="140">
        <f t="shared" si="29"/>
        <v>-30958.7</v>
      </c>
      <c r="L142" s="139">
        <f t="shared" si="30"/>
        <v>0.212</v>
      </c>
      <c r="M142" s="149">
        <f t="shared" si="31"/>
        <v>2649.3</v>
      </c>
      <c r="N142" s="29"/>
    </row>
    <row r="143" spans="1:14" ht="13.5">
      <c r="A143" s="121" t="s">
        <v>10</v>
      </c>
      <c r="B143" s="122" t="s">
        <v>142</v>
      </c>
      <c r="C143" s="123">
        <f>C58+C97+C107+C118</f>
        <v>7704.4</v>
      </c>
      <c r="D143" s="123">
        <f>D58+D97+D107+D118</f>
        <v>7704.4</v>
      </c>
      <c r="E143" s="123">
        <f>E58+E97+E107+E118</f>
        <v>1755.8</v>
      </c>
      <c r="F143" s="123">
        <f>F58+F97+F107+F118</f>
        <v>1798.8</v>
      </c>
      <c r="G143" s="123">
        <f>G58+G97+G107+G118</f>
        <v>1755.8</v>
      </c>
      <c r="H143" s="150">
        <f t="shared" si="26"/>
        <v>0</v>
      </c>
      <c r="I143" s="125">
        <f t="shared" si="27"/>
        <v>1</v>
      </c>
      <c r="J143" s="139">
        <f t="shared" si="28"/>
        <v>0.016</v>
      </c>
      <c r="K143" s="140">
        <f t="shared" si="29"/>
        <v>-5948.6</v>
      </c>
      <c r="L143" s="139">
        <f t="shared" si="30"/>
        <v>0.228</v>
      </c>
      <c r="M143" s="149">
        <f t="shared" si="31"/>
        <v>-43</v>
      </c>
      <c r="N143" s="29"/>
    </row>
    <row r="144" spans="1:14" ht="13.5">
      <c r="A144" s="121" t="s">
        <v>10</v>
      </c>
      <c r="B144" s="128" t="s">
        <v>97</v>
      </c>
      <c r="C144" s="8">
        <v>16498.8</v>
      </c>
      <c r="D144" s="8">
        <v>17891.9</v>
      </c>
      <c r="E144" s="8">
        <v>4412.4</v>
      </c>
      <c r="F144" s="8">
        <v>712.9</v>
      </c>
      <c r="G144" s="8">
        <v>4412.4</v>
      </c>
      <c r="H144" s="150">
        <f t="shared" si="26"/>
        <v>0</v>
      </c>
      <c r="I144" s="125">
        <f t="shared" si="27"/>
        <v>1</v>
      </c>
      <c r="J144" s="139">
        <f t="shared" si="28"/>
        <v>0.041</v>
      </c>
      <c r="K144" s="140">
        <f t="shared" si="29"/>
        <v>-13479.5</v>
      </c>
      <c r="L144" s="139">
        <f t="shared" si="30"/>
        <v>0.247</v>
      </c>
      <c r="M144" s="149">
        <f t="shared" si="31"/>
        <v>3699.5</v>
      </c>
      <c r="N144" s="29"/>
    </row>
    <row r="145" spans="1:13" ht="13.5">
      <c r="A145" s="121"/>
      <c r="B145" s="128" t="s">
        <v>154</v>
      </c>
      <c r="C145" s="123">
        <f>C59+C63+C76+C90+C98+C108+C119</f>
        <v>60653</v>
      </c>
      <c r="D145" s="123">
        <f>D59+D63+D76+D90+D98+D108+D119</f>
        <v>60653.5</v>
      </c>
      <c r="E145" s="123">
        <f>E59+E63+E76+E90+E98+E108+E119</f>
        <v>2756.8</v>
      </c>
      <c r="F145" s="123">
        <f>F59+F63+F76+F90+F98+F108+F119</f>
        <v>1416</v>
      </c>
      <c r="G145" s="123">
        <f>G59+G63+G76+G90+G98+G108+G119</f>
        <v>2756.8</v>
      </c>
      <c r="H145" s="150">
        <f t="shared" si="26"/>
        <v>0</v>
      </c>
      <c r="I145" s="125">
        <f t="shared" si="27"/>
        <v>1</v>
      </c>
      <c r="J145" s="139">
        <f t="shared" si="28"/>
        <v>0.026</v>
      </c>
      <c r="K145" s="140">
        <f t="shared" si="29"/>
        <v>-57896.7</v>
      </c>
      <c r="L145" s="139">
        <f t="shared" si="30"/>
        <v>0.045</v>
      </c>
      <c r="M145" s="149">
        <f t="shared" si="31"/>
        <v>1340.8</v>
      </c>
    </row>
    <row r="146" spans="2:13" ht="13.5">
      <c r="B146" s="164"/>
      <c r="C146" s="40"/>
      <c r="D146" s="41"/>
      <c r="E146" s="41"/>
      <c r="F146" s="41"/>
      <c r="G146" s="41"/>
      <c r="H146" s="43"/>
      <c r="I146" s="44"/>
      <c r="J146" s="45"/>
      <c r="K146" s="46"/>
      <c r="L146" s="45"/>
      <c r="M146" s="41"/>
    </row>
    <row r="147" spans="1:10" ht="13.5">
      <c r="A147" s="88"/>
      <c r="D147" s="41"/>
      <c r="J147" s="86" t="s">
        <v>10</v>
      </c>
    </row>
    <row r="148" spans="2:13" ht="13.5">
      <c r="B148" s="100" t="s">
        <v>94</v>
      </c>
      <c r="C148" s="101"/>
      <c r="D148" s="102"/>
      <c r="E148" s="103"/>
      <c r="F148" s="53"/>
      <c r="G148" s="53"/>
      <c r="H148" s="53"/>
      <c r="I148" s="53"/>
      <c r="J148" s="104"/>
      <c r="K148" s="104"/>
      <c r="L148" s="86" t="s">
        <v>10</v>
      </c>
      <c r="M148" s="2"/>
    </row>
    <row r="149" spans="2:11" ht="13.5">
      <c r="B149" s="105" t="s">
        <v>64</v>
      </c>
      <c r="C149" s="105"/>
      <c r="D149" s="102"/>
      <c r="E149" s="104"/>
      <c r="F149" s="104"/>
      <c r="G149" s="104"/>
      <c r="H149" s="104"/>
      <c r="I149" s="104"/>
      <c r="J149" s="104"/>
      <c r="K149" s="106" t="s">
        <v>95</v>
      </c>
    </row>
    <row r="152" ht="13.5">
      <c r="E152" s="86" t="s">
        <v>10</v>
      </c>
    </row>
  </sheetData>
  <sheetProtection/>
  <mergeCells count="13">
    <mergeCell ref="J130:J131"/>
    <mergeCell ref="K130:K131"/>
    <mergeCell ref="L130:L131"/>
    <mergeCell ref="H1:M1"/>
    <mergeCell ref="M130:M131"/>
    <mergeCell ref="A2:L2"/>
    <mergeCell ref="C130:C131"/>
    <mergeCell ref="D130:D131"/>
    <mergeCell ref="E130:E131"/>
    <mergeCell ref="G130:G131"/>
    <mergeCell ref="F130:F131"/>
    <mergeCell ref="H130:H131"/>
    <mergeCell ref="I130:I131"/>
  </mergeCells>
  <printOptions/>
  <pageMargins left="0.2755905511811024" right="0.1968503937007874" top="0.31496062992125984" bottom="0.1968503937007874" header="0.15748031496062992" footer="0.1968503937007874"/>
  <pageSetup blackAndWhite="1" fitToHeight="14" fitToWidth="1" orientation="landscape" paperSize="9" scale="89" r:id="rId1"/>
  <headerFooter alignWithMargins="0">
    <oddFooter>&amp;R&amp;"Arial Narrow,обычный"&amp;8Лист &amp;P из &amp;N</oddFooter>
  </headerFooter>
  <rowBreaks count="60" manualBreakCount="60">
    <brk id="13" max="255" man="1"/>
    <brk id="18" max="12" man="1"/>
    <brk id="21" max="12" man="1"/>
    <brk id="23" max="12" man="1"/>
    <brk id="26" max="12" man="1"/>
    <brk id="28" max="255" man="1"/>
    <brk id="42" max="12" man="1"/>
    <brk id="43" max="12" man="1"/>
    <brk id="44" max="12" man="1"/>
    <brk id="45" max="12" man="1"/>
    <brk id="46" max="12" man="1"/>
    <brk id="47" max="12" man="1"/>
    <brk id="51" max="12" man="1"/>
    <brk id="63" max="12" man="1"/>
    <brk id="64" max="12" man="1"/>
    <brk id="67" max="12" man="1"/>
    <brk id="76" max="255" man="1"/>
    <brk id="80" max="12" man="1"/>
    <brk id="81" max="255" man="1"/>
    <brk id="84" max="12" man="1"/>
    <brk id="92" max="12" man="1"/>
    <brk id="129" max="12" man="1"/>
    <brk id="137" max="12" man="1"/>
    <brk id="138" max="12" man="1"/>
    <brk id="140" max="255" man="1"/>
    <brk id="143" max="12" man="1"/>
    <brk id="144" max="12" man="1"/>
    <brk id="147" max="255" man="1"/>
    <brk id="148" max="255" man="1"/>
    <brk id="151" max="13" man="1"/>
    <brk id="152" max="255" man="1"/>
    <brk id="153" max="13" man="1"/>
    <brk id="155" max="13" man="1"/>
    <brk id="158" max="13" man="1"/>
    <brk id="159" max="13" man="1"/>
    <brk id="161" max="13" man="1"/>
    <brk id="162" max="13" man="1"/>
    <brk id="169" max="13" man="1"/>
    <brk id="175" max="13" man="1"/>
    <brk id="176" max="13" man="1"/>
    <brk id="177" max="13" man="1"/>
    <brk id="180" max="13" man="1"/>
    <brk id="181" max="255" man="1"/>
    <brk id="184" max="13" man="1"/>
    <brk id="186" max="255" man="1"/>
    <brk id="188" max="255" man="1"/>
    <brk id="189" max="13" man="1"/>
    <brk id="190" max="13" man="1"/>
    <brk id="191" max="13" man="1"/>
    <brk id="197" max="13" man="1"/>
    <brk id="199" max="13" man="1"/>
    <brk id="204" max="13" man="1"/>
    <brk id="206" max="13" man="1"/>
    <brk id="209" max="13" man="1"/>
    <brk id="211" max="13" man="1"/>
    <brk id="219" max="13" man="1"/>
    <brk id="220" max="255" man="1"/>
    <brk id="228" max="13" man="1"/>
    <brk id="232" max="13" man="1"/>
    <brk id="24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Бюджетный отдел</dc:creator>
  <cp:keywords/>
  <dc:description/>
  <cp:lastModifiedBy>pashkov</cp:lastModifiedBy>
  <cp:lastPrinted>2012-04-09T07:39:32Z</cp:lastPrinted>
  <dcterms:created xsi:type="dcterms:W3CDTF">1998-04-06T06:06:47Z</dcterms:created>
  <dcterms:modified xsi:type="dcterms:W3CDTF">2012-05-05T06:08:08Z</dcterms:modified>
  <cp:category/>
  <cp:version/>
  <cp:contentType/>
  <cp:contentStatus/>
</cp:coreProperties>
</file>